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drawing1.xml" ContentType="application/vnd.openxmlformats-officedocument.drawing+xml"/>
  <Override PartName="/xl/comments6.xml" ContentType="application/vnd.openxmlformats-officedocument.spreadsheetml.comments+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WBS" sheetId="3" state="visible" r:id="rId5"/>
    <sheet name="Schedule" sheetId="4" state="visible" r:id="rId6"/>
    <sheet name="Workload" sheetId="5" state="visible" r:id="rId7"/>
    <sheet name="Risks" sheetId="6" state="visible" r:id="rId8"/>
    <sheet name="Cash flow" sheetId="7" state="visible" r:id="rId9"/>
  </sheets>
  <definedNames>
    <definedName function="false" hidden="false" name="Debut" vbProcedure="false">Settings!$B$17</definedName>
    <definedName function="false" hidden="false" name="Demo_sem" vbProcedure="false">Settings!$B$29</definedName>
    <definedName function="false" hidden="false" name="Dispo" vbProcedure="false">Settings!$D$6:$D$12</definedName>
    <definedName function="false" hidden="false" name="Equipe" vbProcedure="false">Settings!$A$6:$A$12</definedName>
    <definedName function="false" hidden="false" name="Feries" vbProcedure="false">Settings!$A$47:$A$91</definedName>
    <definedName function="false" hidden="false" name="J_Festival" vbProcedure="false">Settings!$B$20</definedName>
    <definedName function="false" hidden="false" name="J_NextFest" vbProcedure="false">Settings!$B$21</definedName>
    <definedName function="false" hidden="false" name="J_PageSteam" vbProcedure="false">Settings!$B$19</definedName>
    <definedName function="false" hidden="false" name="J_Proto" vbProcedure="false">Settings!$B$18</definedName>
    <definedName function="false" hidden="false" name="J_Sortie" vbProcedure="false">Settings!$B$22</definedName>
    <definedName function="false" hidden="false" name="Lot_nom" vbProcedure="false">Settings!$B$34:$B$41</definedName>
    <definedName function="false" hidden="false" name="Lot_num" vbProcedure="false">Settings!$A$34:$A$41</definedName>
    <definedName function="false" hidden="false" name="Lot_type" vbProcedure="false">Settings!$C$34:$C$41</definedName>
    <definedName function="false" hidden="false" name="Marge" vbProcedure="false">Settings!$B$27</definedName>
    <definedName function="false" hidden="false" name="NF_jours" vbProcedure="false">Settings!$B$30</definedName>
    <definedName function="false" hidden="false" name="Pilotage" vbProcedure="false">Settings!$B$26</definedName>
    <definedName function="false" hidden="false" name="Polish_sem" vbProcedure="false">Settings!$B$28</definedName>
    <definedName function="false" hidden="false" name="Taux" vbProcedure="false">Settings!$C$6:$C$12</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G5" authorId="0">
      <text>
        <r>
          <rPr>
            <sz val="10"/>
            <rFont val="Arial"/>
            <family val="2"/>
          </rPr>
          <t xml:space="preserve">Days per unit × number of units. Shows "flat fee" when the task only has external costs.</t>
        </r>
      </text>
    </comment>
    <comment ref="P5" authorId="0">
      <text>
        <r>
          <rPr>
            <sz val="10"/>
            <rFont val="Arial"/>
            <family val="2"/>
          </rPr>
          <t xml:space="preserve">Forecast: where the task will end up if nothing changes. Spent (days already done) + remaining. As long as Remaining is empty, it equals the plan.</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1: under 20%. 2: 20 to 50%. 3: 50 to 80%. 4: over 80%, it's already happening.</t>
        </r>
      </text>
    </comment>
    <comment ref="D4" authorId="0">
      <text>
        <r>
          <rPr>
            <sz val="10"/>
            <rFont val="Arial"/>
            <family val="2"/>
          </rPr>
          <t xml:space="preserve">1: a few days, absorbed. 2: one phase hit, 1 to 2 weeks. 3: key date missed or more than 10% of the budget. 4: the game doesn't ship.</t>
        </r>
      </text>
    </comment>
  </commentList>
</comments>
</file>

<file path=xl/sharedStrings.xml><?xml version="1.0" encoding="utf-8"?>
<sst xmlns="http://schemas.openxmlformats.org/spreadsheetml/2006/main" count="684" uniqueCount="496">
  <si>
    <t xml:space="preserve">Game production kit: budget, schedule, workload and risks for a video game</t>
  </si>
  <si>
    <t xml:space="preserve">Free template by José-Manuel Girona Mila, freelance producer · sidestep.publishing@gmail.com</t>
  </si>
  <si>
    <t xml:space="preserve">For small studios of 2 to 6 people. One workbook: you enter the team, the rates and the dates once, and every tab follows.</t>
  </si>
  <si>
    <t xml:space="preserve">Get started in 15 minutes</t>
  </si>
  <si>
    <t xml:space="preserve">1. Settings tab: your team (person, role, day rate, availability) and your milestone dates. Only type in the yellow cells.</t>
  </si>
  <si>
    <t xml:space="preserve">2. WBS tab (the list of all the work): one row per task. Type the ID (2.3 = phase 2, task 3: the phase name fills in by itself), the task, the person (from the list), the days to do it once and the number of units. Days and cost are calculated.</t>
  </si>
  <si>
    <t xml:space="preserve">3. Look at the Schedule: the bars place themselves between the milestones from Settings, and the cost of each phase comes from the WBS. Nothing to type.</t>
  </si>
  <si>
    <t xml:space="preserve">4. Look at the Workload tab, "Load rate" table: who is overloaded, and in which month. Orange from 95%, red above 100%. If it's red, move some work or a date, then go back to step 3.</t>
  </si>
  <si>
    <t xml:space="preserve">The rest is optional, for a funding application or a publisher: the "(advanced)" columns, folded under the + buttons above the column letters (ranges, external costs, eligibility, actuals tracking), the Risks tab and the Cash flow tab.</t>
  </si>
  <si>
    <t xml:space="preserve">Colors mean the same thing everywhere</t>
  </si>
  <si>
    <t xml:space="preserve">Yellow cell: you fill it in. The ones already filled in are the Lumen example: replace them with your own numbers.</t>
  </si>
  <si>
    <t xml:space="preserve">Gray cell: calculated, or an explanation. Don't type in it, you would lose the formula.</t>
  </si>
  <si>
    <t xml:space="preserve">Light blue header (advanced): optional column, folded at first.</t>
  </si>
  <si>
    <t xml:space="preserve">Orange: take a look (a task of more than 10 days in one block, a month loaded at 95% or more, a medium risk).</t>
  </si>
  <si>
    <t xml:space="preserve">Red: fix it (overrun, person missing from Settings, past due date, critical risk). Green: all good.</t>
  </si>
  <si>
    <t xml:space="preserve">Words used in this workbook</t>
  </si>
  <si>
    <t xml:space="preserve">WBS: the list of all the work needed to ship the game, broken down into tasks of 1 to 10 days (work breakdown structure).</t>
  </si>
  <si>
    <t xml:space="preserve">Phase: a group of tasks that ends at a milestone. Milestone: a date when something has to be ready (playable prototype, Steam page live, Next Fest, release).</t>
  </si>
  <si>
    <t xml:space="preserve">Coordination: time spent coordinating rather than making the game (meetings, tracking, emails, decisions). It's added as a percentage of the work days, 15% by default.</t>
  </si>
  <si>
    <t xml:space="preserve">Contingency: a reserve of days and euros for what will go wrong. It stays on its own line and is spent by decision, 10% by default.</t>
  </si>
  <si>
    <t xml:space="preserve">Load and capacity: the load is the work days planned for a person in a month; the capacity is the days they really have. Above 100%, they are overloaded.</t>
  </si>
  <si>
    <t xml:space="preserve">Forecast (tracking, advanced): where a task will end up if nothing changes, meaning the days already spent plus the days remaining. The variance compares it to the plan.</t>
  </si>
  <si>
    <t xml:space="preserve">Excl. VAT: before tax. Every amount in the workbook is excluding VAT. Day rate: the full cost of one work day for that person, payroll taxes included.</t>
  </si>
  <si>
    <t xml:space="preserve">What is it for?</t>
  </si>
  <si>
    <t xml:space="preserve">To answer the questions you'll be asked before anyone funds the game: how much it costs, when it ships, whether the team can keep up, and what could change all that. The WBS holds the cost, the Schedule the dates, the Workload each person's load, the Risks what could push everything back.</t>
  </si>
  <si>
    <t xml:space="preserve">Everything is linked. The Schedule reads each phase's cost from the WBS, the Workload reads each person's days, the Cash flow spreads the Schedule's costs month by month. No more copy and paste: copying from one sheet to another is the top source of errors in Excel.</t>
  </si>
  <si>
    <t xml:space="preserve">When: at the end of preproduction to set the budget and the dates, before a grant application or a publisher meeting, then at every milestone to compare plan and actuals.</t>
  </si>
  <si>
    <t xml:space="preserve">Who: the producer or the partner who owns the budget, filled in with each person on the team. Everyone checks their own line in the Workload tab.</t>
  </si>
  <si>
    <t xml:space="preserve">The example used everywhere: Lumen, a 2D platformer on Steam, 3 people (Léa, Sam, Noé), 12 months, Next Fest in June 2027, release on October 14, 2027. The numbers are for illustration: replace them with yours.</t>
  </si>
  <si>
    <t xml:space="preserve">How to use it</t>
  </si>
  <si>
    <t xml:space="preserve">Settings. The team: the day rate is a full cost, excluding VAT. Availability: 100% for full time, 80% for four days a week. The Freelance line is for flat fees. Then the key dates, the coordination share (15%), the contingency (10%), the phases, and the public holidays and studio closures.</t>
  </si>
  <si>
    <t xml:space="preserve">WBS. Estimate in days. For a task the team has never done, open the advanced columns and fill in Optimistic and Pessimistic: the file uses (optimistic + 4 × likely + pessimistic) ÷ 6, the PERT average. A boss estimated at 6, 9 and 18 days gives 10 days: more than the likely value, because a slip costs more days than a good surprise saves.</t>
  </si>
  <si>
    <t xml:space="preserve">WBS, advanced columns. External costs: anything that isn't team time (flat fee work, license, sound library, Steam fees). Eligible: Y if the expense counts toward the grant you're targeting, N if not. Below the table: coordination and contingency, the total per person, the range and the grant cost base.</t>
  </si>
  <si>
    <t xml:space="preserve">WBS during production, every month or at every milestone: fill in Spent and Remaining. The forecast (spent + remaining) and the variance are calculated. An empty Remaining is not a zero: until it's filled in, the forecast stays at the plan, or at Spent if that's higher.</t>
  </si>
  <si>
    <t xml:space="preserve">Schedule. One row per phase: Start and End are calculated from the dates in Settings (the rule is written in an advanced column). To force a date, type over it. Below the phases, free rows for an event or a task you want to see on the Gantt (demo freeze, buffer before release): they have no cost, the cost stays on the phase row. The Check block must show "-".</t>
  </si>
  <si>
    <t xml:space="preserve">Workload. Nothing to enter except absences (vacation, sick leave, training). A person's load is their WBS days, spread over the months of their phase in proportion to working days. Capacity is the month's working days × their availability, minus absences, minus contingency. The last table adds coordination to the team's load.</t>
  </si>
  <si>
    <t xml:space="preserve">Risks. One row per risk, written in three parts: cause, event, consequence. "Léa is the only one who knows the code; if she stops, production stops" is something you can act on. "Technical problems" is not. Probability and severity from 1 to 4, using the scale below the matrix. For every orange or red: an action, an owner (one person, never "the team") and a due date. Response, WBS ref. and Impact (advanced columns) give the exposure in days, compared to the WBS contingency.</t>
  </si>
  <si>
    <t xml:space="preserve">Cash flow (advanced). Spending per month and running total, from the Schedule, with the chart for your application. Contingency stays on its own line.</t>
  </si>
  <si>
    <t xml:space="preserve">To add rows to the WBS or the Risks, insert them in the middle of the table, above the total row: the formulas will pick them up.</t>
  </si>
  <si>
    <t xml:space="preserve">Good practice</t>
  </si>
  <si>
    <t xml:space="preserve">The 100% rule (PMI, Practice Standard for Work Breakdown Structures): the WBS contains all the work in the project, no more, no less. A funding committee pays for what is written down. Whatever is missing, localization or the Steam page, will get done anyway, but paid for out of the contingency or your evenings.</t>
  </si>
  <si>
    <t xml:space="preserve">Tasks of 1 to 10 days. A 30 day row is a row you can't describe yet: break it down, that's where overruns hide. Days per unit turns orange above 10.</t>
  </si>
  <si>
    <t xml:space="preserve">Break things down by what the player will see (levels, character, UI), not by discipline. The person is for estimating, the phase is for deciding: you can cut a level, you can't cut "art".</t>
  </si>
  <si>
    <t xml:space="preserve">Have the person who will do the work make the estimate, and give a range for anything the team has never done: game feel, bosses, networking, console ports. At the very start of a project, an estimate can be off by a factor of 4 either way (the cone of uncertainty described by McConnell). A range shows that uncertainty and justifies the contingency.</t>
  </si>
  <si>
    <t xml:space="preserve">Place the dates that won't move first, then work backward. For a Next Fest on June 14: demo frozen on May 31, Steam page live in mid March to get three months of wishlists before the festival.</t>
  </si>
  <si>
    <t xml:space="preserve">Keep coordination and contingency on separate lines. Spread across every task, the contingency gets eaten by the first task that slips, and nobody knows what's left. On its own line, it's spent by decision, and the committee can see it's justified: the Risks exposure, in days, is compared to the WBS contingency.</t>
  </si>
  <si>
    <t xml:space="preserve">Don't plan anyone at 100%. Meetings, emails, urgent bugs and playtests take their share. In the example, June overflows for Léa and Noé, the Next Fest month: you see it in November, not the day before.</t>
  </si>
  <si>
    <t xml:space="preserve">Estimate the remaining work again at every milestone and freeze a baseline (a dated copy of the file). The cone narrows as the game takes shape: the estimate made after the prototype is better than the one in the application, and that's the one you should steer by.</t>
  </si>
  <si>
    <t xml:space="preserve">Handle risks in score order: a red one gets an action dated this week, an orange one an action before the next milestone, a green one is just watched. Start with 8 to 12 risks: a 30 row list for a team of three never gets read again.</t>
  </si>
  <si>
    <t xml:space="preserve">Common mistakes</t>
  </si>
  <si>
    <t xml:space="preserve">Forgetting everything that isn't content: saving, options, Steam achievements, localization, QA, trailer, Steam page.</t>
  </si>
  <si>
    <t xml:space="preserve">Estimating with net salary. An employee's day cost is their gross salary plus employer taxes, divided by the days actually worked (about 215 a year): €36,000 gross gives about €243 a day, not €130. Mixing amounts with and without VAT: if the company gets the VAT back, the VAT paid to a freelancer is not a cost.</t>
  </si>
  <si>
    <t xml:space="preserve">Counting unpaid partners' time as an expense. With no salary paid, there's nothing to show, and many funders won't accept it. Put a number on it to know the real cost of the game, but mark it N under Eligible until the funder says yes.</t>
  </si>
  <si>
    <t xml:space="preserve">Counting coordination twice: the Coordination line already exists below the WBS, don't add a "project management" task on top of it.</t>
  </si>
  <si>
    <t xml:space="preserve">Rewriting the plan when actuals slip. The budget is the frozen baseline: if you touch it up along the way, the variance no longer measures anything. What moves is the remaining work, and so the forecast, which answers the only useful question: where do we end up?</t>
  </si>
  <si>
    <t xml:space="preserve">Forgetting public holidays, vacation and closures. In the French example, May 2027 loses 2 weekday holidays (Ascension, Whit Monday), and August drops to 12 working days with a two week closure. Settings removes them from the schedule, the capacity and the cash flow; each person's vacation goes into the Workload absences.</t>
  </si>
  <si>
    <t xml:space="preserve">Smoothing a red month over the following months without moving the schedule: the problem slides, it doesn't go away. Making it up with overtime doesn't work either: across hundreds of projects, crunch goes with worse games, not with games that ship on time (Game Outcomes Project).</t>
  </si>
  <si>
    <t xml:space="preserve">Writing facts instead of risks. "The budget is tight" is a fact. The risk is what happens because of it: "if the regional grant arrives late, we're €30,000 short for the summer". And rating everything 2 × 2 gives a matrix that sorts nothing: is this risk more of a 1 or more of a 3?</t>
  </si>
  <si>
    <t xml:space="preserve">Showing the running total of spending without the contingency. The total budget is the running total plus the contingency, as at the bottom of the Schedule and in the Cash flow.</t>
  </si>
  <si>
    <t xml:space="preserve">Excel or Notion</t>
  </si>
  <si>
    <t xml:space="preserve">This workbook is for estimating and forecasting, at kickoff and then at every milestone; Notion is for the week to week: current tasks, meeting notes, retrospectives.</t>
  </si>
  <si>
    <t xml:space="preserve">Further reading</t>
  </si>
  <si>
    <t xml:space="preserve">PMI, Practice Standard for Work Breakdown Structures, 3rd edition (2019). The 100% rule, breakdown levels and work packages.</t>
  </si>
  <si>
    <t xml:space="preserve">Steve McConnell, Software Estimation: Demystifying the Black Art (2006). The cone of uncertainty (chapter 4) and how to present an estimate as a range.</t>
  </si>
  <si>
    <t xml:space="preserve">Three point estimation (Wikipedia). The formula (a + 4m + b) ÷ 6 used here, and the standard deviation, (pessimistic minus optimistic) ÷ 6.</t>
  </si>
  <si>
    <t xml:space="preserve">Construx, The Cone of Uncertainty. At the concept stage, an estimate can be off by a factor of 4; the gap narrows mostly in the first 20 to 30% of the schedule.</t>
  </si>
  <si>
    <t xml:space="preserve">CNC (France), Fonds d'aide au jeu vidéo (FAJV). Which preproduction and production costs count, and the 50% cap.</t>
  </si>
  <si>
    <t xml:space="preserve">Don Daglow, Producer Bootcamp: Starting Indie Game Production Right (GDC 2019). The five decisions of the first month of production, when the producer has the most influence on whether the game ships.</t>
  </si>
  <si>
    <t xml:space="preserve">Blazej Zywiczynski, Fear of Scope: The #1 Reason We Make Ludicrous Production Decisions (GDC 2022). A method for revising scope early, before it decides for you.</t>
  </si>
  <si>
    <t xml:space="preserve">Paul Tozour, The Game Outcomes Project, Part 3 (2015). Across hundreds of teams, accurate estimates and a detailed schedule go with games that ship more on time; redesigns along the way go with worse results.</t>
  </si>
  <si>
    <t xml:space="preserve">Paul Tozour, The Game Outcomes Project, Part 4: Crunch Makes Games Worse (2015). Overtime doesn't save a late project.</t>
  </si>
  <si>
    <t xml:space="preserve">Producer Panel: Managing Your Indie Team (GDC 2015). How indie producers plan with lots of unknowns and avoid burnout on long projects.</t>
  </si>
  <si>
    <t xml:space="preserve">Harold Kerzner, Project Management: A Systems Approach to Planning, Scheduling, and Controlling, 13th edition (Wiley, 2022). Network scheduling and resource leveling.</t>
  </si>
  <si>
    <t xml:space="preserve">PMI, Risk Management in Portfolios, Programs, and Projects: A Practice Guide (2024, successor to the 2019 standard). The full process: identify, analyze, respond, monitor.</t>
  </si>
  <si>
    <t xml:space="preserve">ISO 31000:2018, Risk management, Guidelines. The principles shared by any organization, summarized on the ISO page.</t>
  </si>
  <si>
    <t xml:space="preserve">Risk matrix (Wikipedia). How the probability × severity grid is built, and its limits as pointed out by Tony Cox in "What's Wrong with Risk Matrices?" (2008).</t>
  </si>
  <si>
    <t xml:space="preserve">Steamworks, Steam Deck compatibility review. The criteria Valve checks (1280 × 800, every action on a controller, text at least 9 pixels), to rate the platform risk.</t>
  </si>
  <si>
    <t xml:space="preserve">Want an outside look at your budget, your schedule or your grant application? Write to sidestep.publishing@gmail.com.</t>
  </si>
  <si>
    <t xml:space="preserve">Settings: the team, the dates, the rules</t>
  </si>
  <si>
    <t xml:space="preserve">This tab: the team, the key dates and the shared rules, filled in once. To enter: the yellow cells. Calculated: nothing here, the other tabs read these values.</t>
  </si>
  <si>
    <t xml:space="preserve">Yellow: enter</t>
  </si>
  <si>
    <t xml:space="preserve">Gray: explanation, don't touch</t>
  </si>
  <si>
    <t xml:space="preserve">Team</t>
  </si>
  <si>
    <t xml:space="preserve">Person</t>
  </si>
  <si>
    <t xml:space="preserve">Role</t>
  </si>
  <si>
    <t xml:space="preserve">Day rate
(€ excl. VAT)</t>
  </si>
  <si>
    <t xml:space="preserve">Availability
(%)</t>
  </si>
  <si>
    <t xml:space="preserve">Note</t>
  </si>
  <si>
    <t xml:space="preserve">Léa</t>
  </si>
  <si>
    <t xml:space="preserve">Programming</t>
  </si>
  <si>
    <t xml:space="preserve">Sam</t>
  </si>
  <si>
    <t xml:space="preserve">Art</t>
  </si>
  <si>
    <t xml:space="preserve">Noé</t>
  </si>
  <si>
    <t xml:space="preserve">Design and production</t>
  </si>
  <si>
    <t xml:space="preserve">Four days a week</t>
  </si>
  <si>
    <t xml:space="preserve">Freelance</t>
  </si>
  <si>
    <t xml:space="preserve">Contractor on a flat fee</t>
  </si>
  <si>
    <t xml:space="preserve">For flat fees: the amount goes in External costs in the WBS. Not in the workload.</t>
  </si>
  <si>
    <t xml:space="preserve">Day rate: a full cost, excluding VAT. Employee (French example): annual gross × about 1.45 (employer taxes) ÷ 215 days worked; €36,000 gross gives about €243 a day, not €130 as with net pay. Freelancer: their day rate excluding VAT. Availability: 100% for full time, 80% for four days a week. Up to 6 people.</t>
  </si>
  <si>
    <t xml:space="preserve">Key dates</t>
  </si>
  <si>
    <t xml:space="preserve">Milestone</t>
  </si>
  <si>
    <t xml:space="preserve">Date</t>
  </si>
  <si>
    <t xml:space="preserve">Explanation</t>
  </si>
  <si>
    <t xml:space="preserve">Project start</t>
  </si>
  <si>
    <t xml:space="preserve">The schedule, the workload and the cash flow cover 12 months starting this month.</t>
  </si>
  <si>
    <t xml:space="preserve">Proto</t>
  </si>
  <si>
    <t xml:space="preserve">End of the Prototype phase: the core loop can be played and judged.</t>
  </si>
  <si>
    <t xml:space="preserve">Steam page</t>
  </si>
  <si>
    <t xml:space="preserve">Steam page live. Aim for mid March for a June Next Fest: three months of wishlists before the festival. End of the Steam page phase.</t>
  </si>
  <si>
    <t xml:space="preserve">Festival</t>
  </si>
  <si>
    <t xml:space="preserve">A show or festival where you present the game. Milestone of the Marketing phase.</t>
  </si>
  <si>
    <t xml:space="preserve">Next Fest</t>
  </si>
  <si>
    <t xml:space="preserve">June Steam Next Fest, check the date on Steamworks. Milestone of the Next Fest demo phase.</t>
  </si>
  <si>
    <t xml:space="preserve">Release</t>
  </si>
  <si>
    <t xml:space="preserve">Release on Steam. End of the Polish and release phase.</t>
  </si>
  <si>
    <t xml:space="preserve">Rules</t>
  </si>
  <si>
    <t xml:space="preserve">Rule</t>
  </si>
  <si>
    <t xml:space="preserve">Value</t>
  </si>
  <si>
    <t xml:space="preserve">Coordination</t>
  </si>
  <si>
    <t xml:space="preserve">Time spent coordinating rather than making the game: meetings, tracking, emails, decisions. Added below the WBS and to the workload. 15% by default; 15 to 20% above 4 people.</t>
  </si>
  <si>
    <t xml:space="preserve">Contingency</t>
  </si>
  <si>
    <t xml:space="preserve">A reserve for what will go wrong, on its own line below the WBS, and taken out of the workload capacity. 10% by default; 15% or more for a first game or a new technology.</t>
  </si>
  <si>
    <t xml:space="preserve">Polish weeks (advanced)</t>
  </si>
  <si>
    <t xml:space="preserve">The Polish and release phase starts this many weeks before release; production stops the day before.</t>
  </si>
  <si>
    <t xml:space="preserve">Demo weeks (advanced)</t>
  </si>
  <si>
    <t xml:space="preserve">The Next Fest demo phase starts this many weeks before Next Fest.</t>
  </si>
  <si>
    <t xml:space="preserve">Next Fest length in days (advanced)</t>
  </si>
  <si>
    <t xml:space="preserve">The Next Fest demo phase ends when the festival ends: streams, fixes, replies to players.</t>
  </si>
  <si>
    <t xml:space="preserve">Phases</t>
  </si>
  <si>
    <t xml:space="preserve">Phase no.</t>
  </si>
  <si>
    <t xml:space="preserve">Phase</t>
  </si>
  <si>
    <t xml:space="preserve">Schedule color</t>
  </si>
  <si>
    <t xml:space="preserve">What the phase contains</t>
  </si>
  <si>
    <t xml:space="preserve">1</t>
  </si>
  <si>
    <t xml:space="preserve">Prototype</t>
  </si>
  <si>
    <t xml:space="preserve">Game</t>
  </si>
  <si>
    <t xml:space="preserve">Core loop, controls, art direction, game design document, grant application</t>
  </si>
  <si>
    <t xml:space="preserve">2</t>
  </si>
  <si>
    <t xml:space="preserve">Marketing</t>
  </si>
  <si>
    <t xml:space="preserve">Capsule, screenshots, short trailer, copy and page launch</t>
  </si>
  <si>
    <t xml:space="preserve">3</t>
  </si>
  <si>
    <t xml:space="preserve">Production</t>
  </si>
  <si>
    <t xml:space="preserve">The 12 levels, environments, enemies, bosses, menus, sound</t>
  </si>
  <si>
    <t xml:space="preserve">4</t>
  </si>
  <si>
    <t xml:space="preserve">Next Fest demo</t>
  </si>
  <si>
    <t xml:space="preserve">Demo build, QA, festival week</t>
  </si>
  <si>
    <t xml:space="preserve">5</t>
  </si>
  <si>
    <t xml:space="preserve">Polish and release</t>
  </si>
  <si>
    <t xml:space="preserve">Debugging, polish, localization, QA, final build</t>
  </si>
  <si>
    <t xml:space="preserve">6</t>
  </si>
  <si>
    <t xml:space="preserve">Social media, devlog, press, festival</t>
  </si>
  <si>
    <t xml:space="preserve">7</t>
  </si>
  <si>
    <t xml:space="preserve">8</t>
  </si>
  <si>
    <t xml:space="preserve">A WBS task ID starts with its phase number (3.2 = phase 3, task 2). Rows 1 to 6 of the Schedule follow this order: if you change the order of the phases, check their dates in the Schedule.</t>
  </si>
  <si>
    <t xml:space="preserve">Schedule color: Game (blue) or Marketing (purple).</t>
  </si>
  <si>
    <t xml:space="preserve">Public holidays (France, replace with your country's) and studio closures</t>
  </si>
  <si>
    <t xml:space="preserve">Name</t>
  </si>
  <si>
    <t xml:space="preserve">All Saints' Day</t>
  </si>
  <si>
    <t xml:space="preserve">One date per row: French public holidays for 2026 and 2027 as the example, plus one week of closure at Christmas and two in August. Days that fall on a weekend change nothing. They are removed from the working days in the schedule, the capacity and the cash flow. Add your own extra days off the same way.</t>
  </si>
  <si>
    <t xml:space="preserve">Armistice Day</t>
  </si>
  <si>
    <t xml:space="preserve">Christmas Day</t>
  </si>
  <si>
    <t xml:space="preserve">Studio closure (Christmas week)</t>
  </si>
  <si>
    <t xml:space="preserve">New Year's Day</t>
  </si>
  <si>
    <t xml:space="preserve">Easter Monday</t>
  </si>
  <si>
    <t xml:space="preserve">Labour Day</t>
  </si>
  <si>
    <t xml:space="preserve">Ascension Day</t>
  </si>
  <si>
    <t xml:space="preserve">Victory in Europe Day</t>
  </si>
  <si>
    <t xml:space="preserve">Whit Monday</t>
  </si>
  <si>
    <t xml:space="preserve">Bastille Day</t>
  </si>
  <si>
    <t xml:space="preserve">Studio closure (August)</t>
  </si>
  <si>
    <t xml:space="preserve">Assumption Day</t>
  </si>
  <si>
    <t xml:space="preserve">WBS: what the game costs</t>
  </si>
  <si>
    <t xml:space="preserve">This tab: the list of all the work on the game and what it costs. To enter: ID, task, person, days per unit, number of units. Calculated: phase, days, cost.</t>
  </si>
  <si>
    <t xml:space="preserve">Days = days per unit × number of units. Cost = days × the person's day rate (Settings) + external costs. Amounts excluding VAT. Advanced columns: + button above the letters.</t>
  </si>
  <si>
    <t xml:space="preserve">Gray: calculated, don't touch</t>
  </si>
  <si>
    <t xml:space="preserve">Orange: &gt; 10 d</t>
  </si>
  <si>
    <t xml:space="preserve">Red: error</t>
  </si>
  <si>
    <t xml:space="preserve">Range, costs, eligibility and actuals tracking (advanced)</t>
  </si>
  <si>
    <t xml:space="preserve">ID</t>
  </si>
  <si>
    <t xml:space="preserve">Task</t>
  </si>
  <si>
    <t xml:space="preserve">Days per unit (d)</t>
  </si>
  <si>
    <t xml:space="preserve">Number of units</t>
  </si>
  <si>
    <t xml:space="preserve">Days (d)</t>
  </si>
  <si>
    <t xml:space="preserve">Cost (€ excl. VAT)</t>
  </si>
  <si>
    <t xml:space="preserve">Optimistic (d)
(advanced)</t>
  </si>
  <si>
    <t xml:space="preserve">Pessimistic (d)
(advanced)</t>
  </si>
  <si>
    <t xml:space="preserve">Estimate used (d)
(advanced)</t>
  </si>
  <si>
    <t xml:space="preserve">External costs (€)
(advanced)</t>
  </si>
  <si>
    <t xml:space="preserve">Grant eligible (Y or N)
(advanced)</t>
  </si>
  <si>
    <t xml:space="preserve">Spent (d)
(advanced)</t>
  </si>
  <si>
    <t xml:space="preserve">Remaining (d)
(advanced)</t>
  </si>
  <si>
    <t xml:space="preserve">Forecast (d)
= spent + remaining
(advanced)</t>
  </si>
  <si>
    <t xml:space="preserve">Variance (d) vs plan
(advanced)</t>
  </si>
  <si>
    <t xml:space="preserve">Forecast (€ excl. VAT)
(advanced)</t>
  </si>
  <si>
    <t xml:space="preserve">Comment</t>
  </si>
  <si>
    <t xml:space="preserve">1.1</t>
  </si>
  <si>
    <t xml:space="preserve">Playable core loop</t>
  </si>
  <si>
    <t xml:space="preserve">Y</t>
  </si>
  <si>
    <t xml:space="preserve">Tracking example: 2 d spent, 20 remaining, so 2 more than planned</t>
  </si>
  <si>
    <t xml:space="preserve">1.2</t>
  </si>
  <si>
    <t xml:space="preserve">Controls and game feel</t>
  </si>
  <si>
    <t xml:space="preserve">Range: the team has never tuned this kind of jump</t>
  </si>
  <si>
    <t xml:space="preserve">1.3</t>
  </si>
  <si>
    <t xml:space="preserve">Architecture and internal tools</t>
  </si>
  <si>
    <t xml:space="preserve">1.4</t>
  </si>
  <si>
    <t xml:space="preserve">Art exploration and style guide</t>
  </si>
  <si>
    <t xml:space="preserve">More than 10 days in one block: break it down (character, environment, UI)</t>
  </si>
  <si>
    <t xml:space="preserve">1.5</t>
  </si>
  <si>
    <t xml:space="preserve">Main character: sprites and animations</t>
  </si>
  <si>
    <t xml:space="preserve">1.6</t>
  </si>
  <si>
    <t xml:space="preserve">Game design document</t>
  </si>
  <si>
    <t xml:space="preserve">1.7</t>
  </si>
  <si>
    <t xml:space="preserve">Test level and blockout</t>
  </si>
  <si>
    <t xml:space="preserve">1.8</t>
  </si>
  <si>
    <t xml:space="preserve">Prototype playtests</t>
  </si>
  <si>
    <t xml:space="preserve">One external playtest a week in January (tester expenses)</t>
  </si>
  <si>
    <t xml:space="preserve">1.9</t>
  </si>
  <si>
    <t xml:space="preserve">Regional grant application</t>
  </si>
  <si>
    <t xml:space="preserve">N</t>
  </si>
  <si>
    <t xml:space="preserve">Marked N to be safe: writing the application doesn't always count</t>
  </si>
  <si>
    <t xml:space="preserve">2.1</t>
  </si>
  <si>
    <t xml:space="preserve">Steam capsule and visuals</t>
  </si>
  <si>
    <t xml:space="preserve">€500 flat fee entered in External costs (advanced column)</t>
  </si>
  <si>
    <t xml:space="preserve">2.2</t>
  </si>
  <si>
    <t xml:space="preserve">Screenshots and animated GIFs</t>
  </si>
  <si>
    <t xml:space="preserve">2.3</t>
  </si>
  <si>
    <t xml:space="preserve">Short trailer (30 s)</t>
  </si>
  <si>
    <t xml:space="preserve">2.4</t>
  </si>
  <si>
    <t xml:space="preserve">Copy, tags and page launch</t>
  </si>
  <si>
    <t xml:space="preserve">Marked N to be safe: check whether your grant covers marketing</t>
  </si>
  <si>
    <t xml:space="preserve">3.1</t>
  </si>
  <si>
    <t xml:space="preserve">Full level: level design and implementation</t>
  </si>
  <si>
    <t xml:space="preserve">12 levels, 3 per world</t>
  </si>
  <si>
    <t xml:space="preserve">3.2</t>
  </si>
  <si>
    <t xml:space="preserve">Environment for one world: tileset and backgrounds</t>
  </si>
  <si>
    <t xml:space="preserve">4 worlds</t>
  </si>
  <si>
    <t xml:space="preserve">3.3</t>
  </si>
  <si>
    <t xml:space="preserve">Enemies: behaviors</t>
  </si>
  <si>
    <t xml:space="preserve">8 enemy types</t>
  </si>
  <si>
    <t xml:space="preserve">3.4</t>
  </si>
  <si>
    <t xml:space="preserve">Enemies: sprites and animations</t>
  </si>
  <si>
    <t xml:space="preserve">3.5</t>
  </si>
  <si>
    <t xml:space="preserve">End of world boss</t>
  </si>
  <si>
    <t xml:space="preserve">Range: the first boss sets the benchmark for the next ones</t>
  </si>
  <si>
    <t xml:space="preserve">3.6</t>
  </si>
  <si>
    <t xml:space="preserve">Unique mechanic for each world</t>
  </si>
  <si>
    <t xml:space="preserve">3.7</t>
  </si>
  <si>
    <t xml:space="preserve">Saving, options, Steam achievements</t>
  </si>
  <si>
    <t xml:space="preserve">3.8</t>
  </si>
  <si>
    <t xml:space="preserve">Menus and HUD: art</t>
  </si>
  <si>
    <t xml:space="preserve">3.9</t>
  </si>
  <si>
    <t xml:space="preserve">Menus and HUD: implementation</t>
  </si>
  <si>
    <t xml:space="preserve">3.10</t>
  </si>
  <si>
    <t xml:space="preserve">Music for one world</t>
  </si>
  <si>
    <t xml:space="preserve">Freelance composer, about €600 per track</t>
  </si>
  <si>
    <t xml:space="preserve">3.11</t>
  </si>
  <si>
    <t xml:space="preserve">Sound effects and audio implementation</t>
  </si>
  <si>
    <t xml:space="preserve">Licensed sound library</t>
  </si>
  <si>
    <t xml:space="preserve">4.1</t>
  </si>
  <si>
    <t xml:space="preserve">Demo build and level selection</t>
  </si>
  <si>
    <t xml:space="preserve">Demo frozen on May 31, two weeks before the festival</t>
  </si>
  <si>
    <t xml:space="preserve">4.2</t>
  </si>
  <si>
    <t xml:space="preserve">Fixes during the festival</t>
  </si>
  <si>
    <t xml:space="preserve">4.3</t>
  </si>
  <si>
    <t xml:space="preserve">Demo balancing and tutorial</t>
  </si>
  <si>
    <t xml:space="preserve">4.4</t>
  </si>
  <si>
    <t xml:space="preserve">Streams and festival community work</t>
  </si>
  <si>
    <t xml:space="preserve">4.5</t>
  </si>
  <si>
    <t xml:space="preserve">Demo QA on 5 hardware setups</t>
  </si>
  <si>
    <t xml:space="preserve">3 days of freelance QA, Steam Deck included</t>
  </si>
  <si>
    <t xml:space="preserve">4.6</t>
  </si>
  <si>
    <t xml:space="preserve">Festival banner and visuals</t>
  </si>
  <si>
    <t xml:space="preserve">5.1</t>
  </si>
  <si>
    <t xml:space="preserve">Debugging and optimization</t>
  </si>
  <si>
    <t xml:space="preserve">5.2</t>
  </si>
  <si>
    <t xml:space="preserve">Game feel polish</t>
  </si>
  <si>
    <t xml:space="preserve">5.3</t>
  </si>
  <si>
    <t xml:space="preserve">Steam Deck port and review</t>
  </si>
  <si>
    <t xml:space="preserve">Review requested 4 weeks before release</t>
  </si>
  <si>
    <t xml:space="preserve">5.4</t>
  </si>
  <si>
    <t xml:space="preserve">Final build and Steam launch</t>
  </si>
  <si>
    <t xml:space="preserve">Steam Direct fee: $100 (about €90), recouped once you reach $1,000 in revenue</t>
  </si>
  <si>
    <t xml:space="preserve">5.5</t>
  </si>
  <si>
    <t xml:space="preserve">Art polish and effects</t>
  </si>
  <si>
    <t xml:space="preserve">5.6</t>
  </si>
  <si>
    <t xml:space="preserve">Launch trailer</t>
  </si>
  <si>
    <t xml:space="preserve">5.7</t>
  </si>
  <si>
    <t xml:space="preserve">Localization in 4 languages</t>
  </si>
  <si>
    <t xml:space="preserve">Freelance translation, about €600 per language</t>
  </si>
  <si>
    <t xml:space="preserve">5.8</t>
  </si>
  <si>
    <t xml:space="preserve">QA testing and bug tracking</t>
  </si>
  <si>
    <t xml:space="preserve">5.9</t>
  </si>
  <si>
    <t xml:space="preserve">Final balancing</t>
  </si>
  <si>
    <t xml:space="preserve">6.1</t>
  </si>
  <si>
    <t xml:space="preserve">Social media and devlog</t>
  </si>
  <si>
    <t xml:space="preserve">One day a month</t>
  </si>
  <si>
    <t xml:space="preserve">6.2</t>
  </si>
  <si>
    <t xml:space="preserve">Press and content creators</t>
  </si>
  <si>
    <t xml:space="preserve">6.3</t>
  </si>
  <si>
    <t xml:space="preserve">Press kit</t>
  </si>
  <si>
    <t xml:space="preserve">Task total</t>
  </si>
  <si>
    <t xml:space="preserve">Coordination: days = coordination share × task days; cost = share × cost of team time (external costs not included).</t>
  </si>
  <si>
    <t xml:space="preserve">Total before contingency</t>
  </si>
  <si>
    <t xml:space="preserve">Contingency: a reserve for risks, on its own line. Present it as such to the funder.</t>
  </si>
  <si>
    <t xml:space="preserve">Per person</t>
  </si>
  <si>
    <t xml:space="preserve">Must equal the Task total line. If not, a WBS row has a person who is missing from Settings.</t>
  </si>
  <si>
    <t xml:space="preserve">Range: does the contingency cover the pessimistic cases? (advanced)</t>
  </si>
  <si>
    <t xml:space="preserve">Tasks, optimistic total (d)</t>
  </si>
  <si>
    <t xml:space="preserve">Tasks, total used (d)</t>
  </si>
  <si>
    <t xml:space="preserve">Tasks, pessimistic total (d)</t>
  </si>
  <si>
    <t xml:space="preserve">Contingency (d)</t>
  </si>
  <si>
    <t xml:space="preserve">Share of the pessimistic gap covered by the contingency</t>
  </si>
  <si>
    <t xml:space="preserve">The pessimistic total assumes everything slips at the same time, which rarely happens. Our rule of thumb: a contingency that covers at least half the gap. Below that (red cell), raise the contingency or break down the risky rows. To justify it line by line, see the Risks tab.</t>
  </si>
  <si>
    <t xml:space="preserve">For the funding application, amounts excluding VAT (advanced)</t>
  </si>
  <si>
    <t xml:space="preserve">Tasks marked eligible (€)</t>
  </si>
  <si>
    <t xml:space="preserve">Coordination, if it is salaries (€)</t>
  </si>
  <si>
    <t xml:space="preserve">Indicative eligible cost base (€)</t>
  </si>
  <si>
    <t xml:space="preserve">Maximum rate of the target grant</t>
  </si>
  <si>
    <t xml:space="preserve">Grant cap (€)</t>
  </si>
  <si>
    <t xml:space="preserve">Example from France: at the CNC video game fund (FAJV), production aid is capped at 50% of production costs, and total public aid can't exceed 50% of the final cost. Check your own funder's rules. Contingency is not an expense: show it on its own line, outside the cost base, unless the funder agrees otherwise.</t>
  </si>
  <si>
    <t xml:space="preserve">Days per unit in orange: more than 10 days in one block, break it down if you can. Red variance: overrun; green: savings. "flat fee": a row with no days, costed in external costs.</t>
  </si>
  <si>
    <t xml:space="preserve">Forecast = spent + remaining. As long as Remaining is empty, the forecast equals the plan, or Spent if that's higher: a missing entry never looks like a saving.</t>
  </si>
  <si>
    <t xml:space="preserve">To add rows, insert them in the middle of the table, above the Task total line: the formulas in the other tabs will pick them up.</t>
  </si>
  <si>
    <t xml:space="preserve">Schedule: what has to be ready before each milestone</t>
  </si>
  <si>
    <t xml:space="preserve">This tab: the phases over time, up to release. Nothing you have to enter: Start and End (yellow) come from Settings, type a date to force them. Calculated: cost and bars.</t>
  </si>
  <si>
    <t xml:space="preserve">Gantt: one column per week, the number is the Monday's date. Blue bar: game. Purple: marketing. Gray: coordination. ♦: milestone. Pink column: current week.</t>
  </si>
  <si>
    <t xml:space="preserve">♦ milestone</t>
  </si>
  <si>
    <t xml:space="preserve">Mktg</t>
  </si>
  <si>
    <t xml:space="preserve">Detail</t>
  </si>
  <si>
    <t xml:space="preserve">Milestone date</t>
  </si>
  <si>
    <t xml:space="preserve">Start</t>
  </si>
  <si>
    <t xml:space="preserve">End</t>
  </si>
  <si>
    <t xml:space="preserve">Working days (d)
(advanced)</t>
  </si>
  <si>
    <t xml:space="preserve">Color
(advanced)</t>
  </si>
  <si>
    <t xml:space="preserve">Default date rule
(advanced)</t>
  </si>
  <si>
    <t xml:space="preserve">From project start to proto</t>
  </si>
  <si>
    <t xml:space="preserve">From the day after proto to the Steam page</t>
  </si>
  <si>
    <t xml:space="preserve">From the day after proto to the day before polish</t>
  </si>
  <si>
    <t xml:space="preserve">The demo weeks before Next Fest, until the festival ends</t>
  </si>
  <si>
    <t xml:space="preserve">The polish weeks before release (Settings)</t>
  </si>
  <si>
    <t xml:space="preserve">The whole project; milestone: the festival</t>
  </si>
  <si>
    <t xml:space="preserve">To enter</t>
  </si>
  <si>
    <t xml:space="preserve">Meetings, tracking, decisions: spread over the whole project</t>
  </si>
  <si>
    <t xml:space="preserve">The whole project</t>
  </si>
  <si>
    <t xml:space="preserve">Optional detail: an event or a task you want to see on the Gantt. No cost here: it stays on the phase row.</t>
  </si>
  <si>
    <t xml:space="preserve">Vertical slice: one complete playable world</t>
  </si>
  <si>
    <t xml:space="preserve">Capsule delivered by the freelancer</t>
  </si>
  <si>
    <t xml:space="preserve">Demo freeze, two weeks before the festival</t>
  </si>
  <si>
    <t xml:space="preserve">Steam Deck review requested, 4 weeks before release</t>
  </si>
  <si>
    <t xml:space="preserve">Buffer: free time before release</t>
  </si>
  <si>
    <t xml:space="preserve">Check and budget (€ excl. VAT)</t>
  </si>
  <si>
    <t xml:space="preserve">Cost placed in the schedule (phases and coordination)</t>
  </si>
  <si>
    <t xml:space="preserve">WBS total before contingency</t>
  </si>
  <si>
    <t xml:space="preserve">Gap to explain</t>
  </si>
  <si>
    <t xml:space="preserve">Must show "-". If not, a WBS task has an ID whose phase doesn't exist in Settings.</t>
  </si>
  <si>
    <t xml:space="preserve">Contingency (reserve, not in the schedule)</t>
  </si>
  <si>
    <t xml:space="preserve">Total budget</t>
  </si>
  <si>
    <t xml:space="preserve">Orange cost: the phase has a cost in the WBS but no dates here, so it is neither in the workload nor in the cash flow.</t>
  </si>
  <si>
    <t xml:space="preserve">Workload: who is overloaded, and in which month</t>
  </si>
  <si>
    <t xml:space="preserve">This tab: who has too much on their plate, and in which month. To enter: absences (yellow). Calculated: everything else, from the WBS, the Schedule and Settings. Folded details: + button on the left.</t>
  </si>
  <si>
    <t xml:space="preserve">Gray: calculated</t>
  </si>
  <si>
    <t xml:space="preserve">95 to 100%</t>
  </si>
  <si>
    <t xml:space="preserve">&gt; 100%</t>
  </si>
  <si>
    <t xml:space="preserve">Month</t>
  </si>
  <si>
    <t xml:space="preserve">Total</t>
  </si>
  <si>
    <t xml:space="preserve">Working days in the month (holidays and closures removed)</t>
  </si>
  <si>
    <t xml:space="preserve">1. Planned load (days): each person's WBS days, spread over the months of their phase. Detail: + button on the left</t>
  </si>
  <si>
    <t xml:space="preserve">Availability</t>
  </si>
  <si>
    <t xml:space="preserve">In the WBS</t>
  </si>
  <si>
    <t xml:space="preserve">Team total</t>
  </si>
  <si>
    <t xml:space="preserve">Orange total: some of the person's days fall outside the 12 months, or on a phase with no dates in the Schedule.</t>
  </si>
  <si>
    <t xml:space="preserve">2. Absences (working days: vacation, sick leave, training)</t>
  </si>
  <si>
    <t xml:space="preserve">3. Capacity (days): working days × availability, minus absences, minus contingency. Detail: + button on the left</t>
  </si>
  <si>
    <t xml:space="preserve">4. Load rate (%) = load ÷ capacity. Orange from 95%, red above 100%</t>
  </si>
  <si>
    <t xml:space="preserve">Contingency is already taken out of capacity: so orange starts at 95%, not 85%. You fix a red month by moving a bar in the Schedule, by cutting, or by adding a person.</t>
  </si>
  <si>
    <t xml:space="preserve">5. Team, coordination included (days)</t>
  </si>
  <si>
    <t xml:space="preserve">Planned load of the people</t>
  </si>
  <si>
    <t xml:space="preserve">Total load</t>
  </si>
  <si>
    <t xml:space="preserve">Plannable capacity, contingency removed</t>
  </si>
  <si>
    <t xml:space="preserve">Team load rate</t>
  </si>
  <si>
    <t xml:space="preserve">Days still free</t>
  </si>
  <si>
    <t xml:space="preserve">Coordination (meetings, tracking, decisions) is not in the people's rows: it's added here to the whole team's load.</t>
  </si>
  <si>
    <t xml:space="preserve">Calculation: share of each phase in each month, in proportion to working days. Detail: + button on the left</t>
  </si>
  <si>
    <t xml:space="preserve">Phase (Schedule)</t>
  </si>
  <si>
    <t xml:space="preserve">Total under 100%: the phase runs past the 12 months of the plan. Example: a phase of 20 working days with 5 in June puts 25% of its days in June.</t>
  </si>
  <si>
    <t xml:space="preserve">Risks: what could derail the game, and who is on it</t>
  </si>
  <si>
    <t xml:space="preserve">This tab: what could derail the game, and who is on it. To enter: one row per risk (yellow). Calculated: score and level. 1 to 4 scale on the right, below the matrix.</t>
  </si>
  <si>
    <t xml:space="preserve">Calculated</t>
  </si>
  <si>
    <t xml:space="preserve">1 to 3</t>
  </si>
  <si>
    <t xml:space="preserve">4 to 6</t>
  </si>
  <si>
    <t xml:space="preserve">8 to 16</t>
  </si>
  <si>
    <t xml:space="preserve">Score = probability × severity: green low, orange watch, red critical.</t>
  </si>
  <si>
    <t xml:space="preserve">Matrix: open risks per cell</t>
  </si>
  <si>
    <t xml:space="preserve">Risk: cause, event, consequence</t>
  </si>
  <si>
    <t xml:space="preserve">Probability
(1 to 4)</t>
  </si>
  <si>
    <t xml:space="preserve">Severity
(1 to 4)</t>
  </si>
  <si>
    <t xml:space="preserve">Score
(P × S)</t>
  </si>
  <si>
    <t xml:space="preserve">Level</t>
  </si>
  <si>
    <t xml:space="preserve">Action</t>
  </si>
  <si>
    <t xml:space="preserve">Owner</t>
  </si>
  <si>
    <t xml:space="preserve">Due date</t>
  </si>
  <si>
    <t xml:space="preserve">Status</t>
  </si>
  <si>
    <t xml:space="preserve">Category
(advanced)</t>
  </si>
  <si>
    <t xml:space="preserve">Response
(advanced)</t>
  </si>
  <si>
    <t xml:space="preserve">Review date
(advanced)</t>
  </si>
  <si>
    <t xml:space="preserve">WBS ref.
(advanced)</t>
  </si>
  <si>
    <t xml:space="preserve">Impact if it happens (d)
(advanced)</t>
  </si>
  <si>
    <t xml:space="preserve">Exposure (d)
(advanced)</t>
  </si>
  <si>
    <t xml:space="preserve">Sort
(advanced)</t>
  </si>
  <si>
    <t xml:space="preserve">Probability ↓   Severity →</t>
  </si>
  <si>
    <t xml:space="preserve">R01</t>
  </si>
  <si>
    <t xml:space="preserve">The demo gets built in June, the month when Léa and Noé are already above 100% in the workload. If it isn't frozen in time, it crashes for players during Next Fest and the reviews stay on the page.</t>
  </si>
  <si>
    <t xml:space="preserve">Demo freeze on May 31; 3 days of freelance QA on 5 setups including Steam Deck; move 6 days of production from June to July.</t>
  </si>
  <si>
    <t xml:space="preserve">Open</t>
  </si>
  <si>
    <t xml:space="preserve">Schedule</t>
  </si>
  <si>
    <t xml:space="preserve">Reduce</t>
  </si>
  <si>
    <t xml:space="preserve">R02</t>
  </si>
  <si>
    <t xml:space="preserve">The capsule freelancer delivers after the end of February. The Steam page opens after March 15 and reaches Next Fest with fewer wishlists.</t>
  </si>
  <si>
    <t xml:space="preserve">Brief sent before January 15, sketch approved mid February, delivery on February 26; a second freelancer lined up as backup.</t>
  </si>
  <si>
    <t xml:space="preserve">Contractor</t>
  </si>
  <si>
    <t xml:space="preserve">R03</t>
  </si>
  <si>
    <t xml:space="preserve">The regional grant is approved but paid late. We're about €30,000 short to pay for the summer.</t>
  </si>
  <si>
    <t xml:space="preserve">Plan B costed before applying: a 3 world version, partner contributions, an interest free personal loan; keep two months of spending in the bank.</t>
  </si>
  <si>
    <t xml:space="preserve">Funding</t>
  </si>
  <si>
    <t xml:space="preserve">R04</t>
  </si>
  <si>
    <t xml:space="preserve">Léa is the only one who knows the code. If she stops for several weeks, production stops and the release slips by as much.</t>
  </si>
  <si>
    <t xml:space="preserve">Code on Git with peer review every Friday; architecture written up in 2 pages; a freelance programmer identified and briefed as backup.</t>
  </si>
  <si>
    <t xml:space="preserve">In progress</t>
  </si>
  <si>
    <t xml:space="preserve">R05</t>
  </si>
  <si>
    <t xml:space="preserve">Every playtest adds a mechanic. Level design goes from 4.5 to 6.5 days per level and production spills into polish.</t>
  </si>
  <si>
    <t xml:space="preserve">Mechanics list frozen at the end of the prototype; a new idea replaces one or goes on the "after release" list. Noé decides.</t>
  </si>
  <si>
    <t xml:space="preserve">Scope</t>
  </si>
  <si>
    <t xml:space="preserve">Avoid</t>
  </si>
  <si>
    <t xml:space="preserve">Number = open risks in the cell. Color = P × S score zone. Read from top right (severe and likely) to bottom left.</t>
  </si>
  <si>
    <t xml:space="preserve">R06</t>
  </si>
  <si>
    <t xml:space="preserve">UI designed for the mouse and text too small. The Steam Deck review gives "Playable" instead of "Verified" and the game loses that badge on the store.</t>
  </si>
  <si>
    <t xml:space="preserve">Test on Steam Deck from the prototype on; every action on a controller; no text under 12 pixels at 1280 × 800; review requested 4 weeks before release.</t>
  </si>
  <si>
    <t xml:space="preserve">Platform</t>
  </si>
  <si>
    <t xml:space="preserve">R07</t>
  </si>
  <si>
    <t xml:space="preserve">Translators get a spreadsheet with no screenshots and no length limits. Text gets cut off in the UI and mistranslations show up in reviews.</t>
  </si>
  <si>
    <t xml:space="preserve">One screenshot and one character limit per string; an in game review by a native speaker for each language, about 1 day each.</t>
  </si>
  <si>
    <t xml:space="preserve">Quality</t>
  </si>
  <si>
    <t xml:space="preserve">R08</t>
  </si>
  <si>
    <t xml:space="preserve">The prototype runs poorly on a low end laptop. Testing happens on powerful machines and the problem comes back in the middle of polish.</t>
  </si>
  <si>
    <t xml:space="preserve">Profiling on a 2019 laptop with every weekly build. Done: the prototype holds 60 frames per second.</t>
  </si>
  <si>
    <t xml:space="preserve">Closed</t>
  </si>
  <si>
    <t xml:space="preserve">Tech</t>
  </si>
  <si>
    <t xml:space="preserve">Summary</t>
  </si>
  <si>
    <t xml:space="preserve">Open risks</t>
  </si>
  <si>
    <t xml:space="preserve">Critical (8 to 16)</t>
  </si>
  <si>
    <t xml:space="preserve">Watch (4 to 6)</t>
  </si>
  <si>
    <t xml:space="preserve">Low (1 to 3)</t>
  </si>
  <si>
    <t xml:space="preserve">Does the WBS contingency cover the risks?</t>
  </si>
  <si>
    <t xml:space="preserve">Total exposure of open risks (d)</t>
  </si>
  <si>
    <t xml:space="preserve">WBS contingency (d)</t>
  </si>
  <si>
    <t xml:space="preserve">Coverage (contingency ÷ exposure)</t>
  </si>
  <si>
    <t xml:space="preserve">Reading</t>
  </si>
  <si>
    <t xml:space="preserve">Coverage doesn't need to be exact: under 100%, the contingency won't hold if the risks play out as expected.</t>
  </si>
  <si>
    <t xml:space="preserve">The 5 highest open scores: agenda for the weekly meeting</t>
  </si>
  <si>
    <t xml:space="preserve">Rank</t>
  </si>
  <si>
    <t xml:space="preserve">Score</t>
  </si>
  <si>
    <t xml:space="preserve">Risk</t>
  </si>
  <si>
    <t xml:space="preserve">Scale</t>
  </si>
  <si>
    <t xml:space="preserve">Probability</t>
  </si>
  <si>
    <t xml:space="preserve">Rating</t>
  </si>
  <si>
    <t xml:space="preserve">&lt; 20%: unlikely over the life of the project</t>
  </si>
  <si>
    <t xml:space="preserve">20 to 50%: possible, about one chance in three</t>
  </si>
  <si>
    <t xml:space="preserve">of which critical (score 8 and up)</t>
  </si>
  <si>
    <t xml:space="preserve">50 to 80%: likely if we do nothing</t>
  </si>
  <si>
    <t xml:space="preserve">&gt; 80%: almost certain, it's already happening</t>
  </si>
  <si>
    <t xml:space="preserve">Exposure = average probability of the band (1: 10%, 2: 35%, 3: 65%, 4: 90%) × impact in days. The rough number of days this risk will cost on average, to compare with the WBS contingency.</t>
  </si>
  <si>
    <t xml:space="preserve">Severity</t>
  </si>
  <si>
    <t xml:space="preserve">Due date in red: overdue on a risk that isn't closed. Review date in orange: more than 30 days without a review.</t>
  </si>
  <si>
    <t xml:space="preserve">Nuisance: a few days, absorbed without touching the dates or the budget</t>
  </si>
  <si>
    <t xml:space="preserve">A closed risk stays on the list: it shows the next funder what you managed to anticipate. The matrix and the exposure no longer count it.</t>
  </si>
  <si>
    <t xml:space="preserve">One phase hit: one to two weeks late, or a feature cut down</t>
  </si>
  <si>
    <t xml:space="preserve">Key date missed (Next Fest, application deadline) or more than 10% of the budget</t>
  </si>
  <si>
    <t xml:space="preserve">Failure: the game doesn't ship, the funding falls through, the studio closes</t>
  </si>
  <si>
    <t xml:space="preserve">Rate severity against the project's goals (date, budget, quality), not against discomfort.</t>
  </si>
  <si>
    <t xml:space="preserve">Cash flow: when the money goes out (advanced)</t>
  </si>
  <si>
    <t xml:space="preserve">This tab (advanced): spending month by month, for a funding application or a publisher. Nothing to enter: everything comes from the Schedule. Amounts excluding VAT.</t>
  </si>
  <si>
    <t xml:space="preserve">The cost of each Schedule row is spread over its working days, holidays and closures removed, to the day. Amounts excluding VAT.</t>
  </si>
  <si>
    <t xml:space="preserve">Spending in the month (€ excl. VAT)</t>
  </si>
  <si>
    <t xml:space="preserve">Running total (€ excl. VAT)</t>
  </si>
  <si>
    <t xml:space="preserve">Contingency (€ excl. VAT, reserve, Total column)</t>
  </si>
  <si>
    <t xml:space="preserve">Total budget with contingency (€ excl. VAT)</t>
  </si>
  <si>
    <t xml:space="preserve">Share of the budget spent by month end (%)</t>
  </si>
  <si>
    <t xml:space="preserve">Contingency stays on its own line: it's a reserve, not a planned expense. In the last column, what's left is the unspent contingency.</t>
  </si>
  <si>
    <t xml:space="preserve">Check</t>
  </si>
  <si>
    <t xml:space="preserve">Cost placed in the Schedule (phases and coordination)</t>
  </si>
  <si>
    <t xml:space="preserve">Spending spread over the 12 months</t>
  </si>
  <si>
    <t xml:space="preserve">Outside the 12 months or without dates</t>
  </si>
  <si>
    <t xml:space="preserve">Must show "-". If not, a Schedule row has a cost but no dates, or runs past the 12 months.</t>
  </si>
  <si>
    <t xml:space="preserve">Detail per Schedule row (€ excl. VAT)</t>
  </si>
  <si>
    <t xml:space="preserve">Schedule row</t>
  </si>
  <si>
    <t xml:space="preserve">Expense or payment: here the expense lands in the month the work is done. A freelancer paid at 30 days pushes the cash out by one month: shift it in your final cash flow plan, next to the money coming in (grant, publisher advance, contributions).</t>
  </si>
</sst>
</file>

<file path=xl/styles.xml><?xml version="1.0" encoding="utf-8"?>
<styleSheet xmlns="http://schemas.openxmlformats.org/spreadsheetml/2006/main">
  <numFmts count="25">
    <numFmt numFmtId="164" formatCode="General"/>
    <numFmt numFmtId="165" formatCode="#,##0&quot; €&quot;;\-#,##0&quot; €&quot;;\-"/>
    <numFmt numFmtId="166" formatCode="0%"/>
    <numFmt numFmtId="167" formatCode="dd/mm/yyyy"/>
    <numFmt numFmtId="168" formatCode="0"/>
    <numFmt numFmtId="169" formatCode="@"/>
    <numFmt numFmtId="170" formatCode="0.0;\-0.0;;"/>
    <numFmt numFmtId="171" formatCode="0;\-0;;"/>
    <numFmt numFmtId="172" formatCode="#,##0.0;\-#,##0.0;&quot;flat fee&quot;"/>
    <numFmt numFmtId="173" formatCode="0.0"/>
    <numFmt numFmtId="174" formatCode="0.0;\-0.0;0"/>
    <numFmt numFmtId="175" formatCode="\+0.0;\-0.0;0"/>
    <numFmt numFmtId="176" formatCode="#,##0.0"/>
    <numFmt numFmtId="177" formatCode="dd"/>
    <numFmt numFmtId="178" formatCode="dd/mm/yy"/>
    <numFmt numFmtId="179" formatCode="[$-409]mmm\ yy"/>
    <numFmt numFmtId="180" formatCode="0.0;\-0.0;\-"/>
    <numFmt numFmtId="181" formatCode="0.#;\-0.#;;"/>
    <numFmt numFmtId="182" formatCode="0.#"/>
    <numFmt numFmtId="183" formatCode="0%;\-0%;\-"/>
    <numFmt numFmtId="184" formatCode="\S0"/>
    <numFmt numFmtId="185" formatCode="General"/>
    <numFmt numFmtId="186" formatCode="\P0"/>
    <numFmt numFmtId="187" formatCode="0;\-0;&quot;&quot;"/>
    <numFmt numFmtId="188" formatCode="#,##0&quot; €&quot;"/>
  </numFmts>
  <fonts count="29">
    <font>
      <sz val="10"/>
      <name val="Arial"/>
      <family val="0"/>
      <charset val="1"/>
    </font>
    <font>
      <sz val="10"/>
      <name val="Arial"/>
      <family val="0"/>
    </font>
    <font>
      <sz val="10"/>
      <name val="Arial"/>
      <family val="0"/>
    </font>
    <font>
      <sz val="10"/>
      <name val="Arial"/>
      <family val="0"/>
    </font>
    <font>
      <b val="true"/>
      <sz val="15"/>
      <color rgb="FF141A2B"/>
      <name val="Arial"/>
      <family val="0"/>
      <charset val="1"/>
    </font>
    <font>
      <sz val="10"/>
      <color rgb="FF5B6478"/>
      <name val="Arial"/>
      <family val="0"/>
      <charset val="1"/>
    </font>
    <font>
      <sz val="10"/>
      <color rgb="FF141A2B"/>
      <name val="Arial"/>
      <family val="0"/>
      <charset val="1"/>
    </font>
    <font>
      <b val="true"/>
      <sz val="11"/>
      <color rgb="FFFFFFFF"/>
      <name val="Arial"/>
      <family val="0"/>
      <charset val="1"/>
    </font>
    <font>
      <b val="true"/>
      <sz val="10"/>
      <color rgb="FF141A2B"/>
      <name val="Arial"/>
      <family val="0"/>
      <charset val="1"/>
    </font>
    <font>
      <b val="true"/>
      <sz val="12"/>
      <color rgb="FF2443C9"/>
      <name val="Arial"/>
      <family val="0"/>
      <charset val="1"/>
    </font>
    <font>
      <sz val="10"/>
      <color rgb="FF2443C9"/>
      <name val="Arial"/>
      <family val="0"/>
      <charset val="1"/>
    </font>
    <font>
      <b val="true"/>
      <sz val="10"/>
      <color rgb="FF2443C9"/>
      <name val="Arial"/>
      <family val="0"/>
      <charset val="1"/>
    </font>
    <font>
      <b val="true"/>
      <sz val="14"/>
      <color rgb="FF141A2B"/>
      <name val="Arial"/>
      <family val="0"/>
      <charset val="1"/>
    </font>
    <font>
      <sz val="9"/>
      <color rgb="FF141A2B"/>
      <name val="Arial"/>
      <family val="0"/>
      <charset val="1"/>
    </font>
    <font>
      <b val="true"/>
      <sz val="11"/>
      <color rgb="FF141A2B"/>
      <name val="Arial"/>
      <family val="0"/>
      <charset val="1"/>
    </font>
    <font>
      <b val="true"/>
      <sz val="10"/>
      <color rgb="FFFFFFFF"/>
      <name val="Arial"/>
      <family val="0"/>
      <charset val="1"/>
    </font>
    <font>
      <sz val="9"/>
      <color rgb="FF5B6478"/>
      <name val="Arial"/>
      <family val="0"/>
      <charset val="1"/>
    </font>
    <font>
      <b val="true"/>
      <sz val="10"/>
      <color rgb="FF5B6478"/>
      <name val="Arial"/>
      <family val="0"/>
      <charset val="1"/>
    </font>
    <font>
      <b val="true"/>
      <sz val="10"/>
      <color rgb="FF1B2559"/>
      <name val="Arial"/>
      <family val="0"/>
      <charset val="1"/>
    </font>
    <font>
      <sz val="10"/>
      <name val="Arial"/>
      <family val="2"/>
    </font>
    <font>
      <sz val="8"/>
      <color rgb="FF5B6478"/>
      <name val="Arial"/>
      <family val="0"/>
      <charset val="1"/>
    </font>
    <font>
      <b val="true"/>
      <sz val="8"/>
      <color rgb="FF141A2B"/>
      <name val="Arial"/>
      <family val="0"/>
      <charset val="1"/>
    </font>
    <font>
      <b val="true"/>
      <sz val="8"/>
      <color rgb="FFFFFFFF"/>
      <name val="Arial"/>
      <family val="0"/>
      <charset val="1"/>
    </font>
    <font>
      <b val="true"/>
      <sz val="9"/>
      <color rgb="FF141A2B"/>
      <name val="Arial"/>
      <family val="0"/>
      <charset val="1"/>
    </font>
    <font>
      <b val="true"/>
      <sz val="11"/>
      <color rgb="FF2443C9"/>
      <name val="Arial"/>
      <family val="0"/>
      <charset val="1"/>
    </font>
    <font>
      <b val="true"/>
      <sz val="12"/>
      <color rgb="FF141A2B"/>
      <name val="Arial"/>
      <family val="0"/>
      <charset val="1"/>
    </font>
    <font>
      <b val="true"/>
      <sz val="18"/>
      <color rgb="FF000000"/>
      <name val="Calibri"/>
      <family val="2"/>
    </font>
    <font>
      <sz val="10"/>
      <color rgb="FF000000"/>
      <name val="Calibri"/>
      <family val="2"/>
    </font>
    <font>
      <b val="true"/>
      <sz val="10"/>
      <color rgb="FF000000"/>
      <name val="Calibri"/>
      <family val="2"/>
    </font>
  </fonts>
  <fills count="15">
    <fill>
      <patternFill patternType="none"/>
    </fill>
    <fill>
      <patternFill patternType="gray125"/>
    </fill>
    <fill>
      <patternFill patternType="solid">
        <fgColor rgb="FF2443C9"/>
        <bgColor rgb="FF3366FF"/>
      </patternFill>
    </fill>
    <fill>
      <patternFill patternType="solid">
        <fgColor rgb="FFEAEFFD"/>
        <bgColor rgb="FFE3E8FB"/>
      </patternFill>
    </fill>
    <fill>
      <patternFill patternType="solid">
        <fgColor rgb="FFE3E8FB"/>
        <bgColor rgb="FFE3E6EC"/>
      </patternFill>
    </fill>
    <fill>
      <patternFill patternType="solid">
        <fgColor rgb="FFFFF6D6"/>
        <bgColor rgb="FFFDECEC"/>
      </patternFill>
    </fill>
    <fill>
      <patternFill patternType="solid">
        <fgColor rgb="FFF3F5F8"/>
        <bgColor rgb="FFEAEFFD"/>
      </patternFill>
    </fill>
    <fill>
      <patternFill patternType="solid">
        <fgColor rgb="FFC3CCF3"/>
        <bgColor rgb="FFAFC0F5"/>
      </patternFill>
    </fill>
    <fill>
      <patternFill patternType="solid">
        <fgColor rgb="FFFAD7A0"/>
        <bgColor rgb="FFF8D7DA"/>
      </patternFill>
    </fill>
    <fill>
      <patternFill patternType="solid">
        <fgColor rgb="FFF4B6A6"/>
        <bgColor rgb="FFFAD7A0"/>
      </patternFill>
    </fill>
    <fill>
      <patternFill patternType="solid">
        <fgColor rgb="FFF2CF3C"/>
        <bgColor rgb="FFFAD7A0"/>
      </patternFill>
    </fill>
    <fill>
      <patternFill patternType="solid">
        <fgColor rgb="FFAFC0F5"/>
        <bgColor rgb="FFC3CCF3"/>
      </patternFill>
    </fill>
    <fill>
      <patternFill patternType="solid">
        <fgColor rgb="FFD9C2E6"/>
        <bgColor rgb="FFC3CCF3"/>
      </patternFill>
    </fill>
    <fill>
      <patternFill patternType="solid">
        <fgColor rgb="FFD5D9E2"/>
        <bgColor rgb="FFD5DAE3"/>
      </patternFill>
    </fill>
    <fill>
      <patternFill patternType="solid">
        <fgColor rgb="FFD8F0DF"/>
        <bgColor rgb="FFE3E6EC"/>
      </patternFill>
    </fill>
  </fills>
  <borders count="5">
    <border diagonalUp="false" diagonalDown="false">
      <left/>
      <right/>
      <top/>
      <bottom/>
      <diagonal/>
    </border>
    <border diagonalUp="false" diagonalDown="false">
      <left style="thin">
        <color rgb="FFD5D9E2"/>
      </left>
      <right style="thin">
        <color rgb="FFD5D9E2"/>
      </right>
      <top style="thin">
        <color rgb="FFD5D9E2"/>
      </top>
      <bottom style="thin">
        <color rgb="FFD5D9E2"/>
      </bottom>
      <diagonal/>
    </border>
    <border diagonalUp="false" diagonalDown="false">
      <left style="thin">
        <color rgb="FFD5DAE3"/>
      </left>
      <right style="thin">
        <color rgb="FFD5DAE3"/>
      </right>
      <top style="thin">
        <color rgb="FFD5DAE3"/>
      </top>
      <bottom style="thin">
        <color rgb="FFD5DAE3"/>
      </bottom>
      <diagonal/>
    </border>
    <border diagonalUp="false" diagonalDown="false">
      <left style="thin">
        <color rgb="FFD5DAE3"/>
      </left>
      <right/>
      <top style="thin">
        <color rgb="FFD5DAE3"/>
      </top>
      <bottom style="thin">
        <color rgb="FFD5DAE3"/>
      </bottom>
      <diagonal/>
    </border>
    <border diagonalUp="false" diagonalDown="false">
      <left style="hair">
        <color rgb="FFE3E6EC"/>
      </left>
      <right style="hair">
        <color rgb="FFE3E6EC"/>
      </right>
      <top/>
      <bottom style="thin">
        <color rgb="FFD5DA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2" borderId="0" xfId="0" applyFont="true" applyBorder="false" applyAlignment="true" applyProtection="true">
      <alignment horizontal="general" vertical="top" textRotation="0" wrapText="true" indent="0" shrinkToFit="false"/>
      <protection locked="true" hidden="false"/>
    </xf>
    <xf numFmtId="164" fontId="6" fillId="3" borderId="0" xfId="0" applyFont="true" applyBorder="false" applyAlignment="true" applyProtection="true">
      <alignment horizontal="general" vertical="center" textRotation="0" wrapText="true" indent="0" shrinkToFit="false"/>
      <protection locked="true" hidden="false"/>
    </xf>
    <xf numFmtId="164" fontId="8" fillId="4" borderId="0" xfId="0" applyFont="true" applyBorder="false" applyAlignment="true" applyProtection="true">
      <alignment horizontal="general" vertical="center" textRotation="0" wrapText="tru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true" hidden="false"/>
    </xf>
    <xf numFmtId="164" fontId="6" fillId="5" borderId="0" xfId="0" applyFont="true" applyBorder="false" applyAlignment="true" applyProtection="true">
      <alignment horizontal="general" vertical="center" textRotation="0" wrapText="true" indent="0" shrinkToFit="false"/>
      <protection locked="true" hidden="false"/>
    </xf>
    <xf numFmtId="164" fontId="6" fillId="6" borderId="0" xfId="0" applyFont="true" applyBorder="false" applyAlignment="true" applyProtection="true">
      <alignment horizontal="general" vertical="center" textRotation="0" wrapText="true" indent="0" shrinkToFit="false"/>
      <protection locked="true" hidden="false"/>
    </xf>
    <xf numFmtId="164" fontId="6" fillId="7" borderId="0" xfId="0" applyFont="true" applyBorder="false" applyAlignment="true" applyProtection="true">
      <alignment horizontal="general" vertical="center" textRotation="0" wrapText="true" indent="0" shrinkToFit="false"/>
      <protection locked="true" hidden="false"/>
    </xf>
    <xf numFmtId="164" fontId="6" fillId="8" borderId="0" xfId="0" applyFont="true" applyBorder="false" applyAlignment="true" applyProtection="true">
      <alignment horizontal="general" vertical="center" textRotation="0" wrapText="true" indent="0" shrinkToFit="false"/>
      <protection locked="true" hidden="false"/>
    </xf>
    <xf numFmtId="164" fontId="6" fillId="9" borderId="0" xfId="0" applyFont="true" applyBorder="false" applyAlignment="true" applyProtection="true">
      <alignment horizontal="general" vertical="center" textRotation="0" wrapText="true" indent="0" shrinkToFit="false"/>
      <protection locked="true" hidden="false"/>
    </xf>
    <xf numFmtId="164" fontId="8" fillId="5" borderId="0" xfId="0" applyFont="true" applyBorder="fals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center" textRotation="0" wrapText="false" indent="0" shrinkToFit="false"/>
      <protection locked="true" hidden="false"/>
    </xf>
    <xf numFmtId="164" fontId="13" fillId="5" borderId="1" xfId="0" applyFont="true" applyBorder="true" applyAlignment="true" applyProtection="true">
      <alignment horizontal="center" vertical="center" textRotation="0" wrapText="false" indent="0" shrinkToFit="false"/>
      <protection locked="true" hidden="false"/>
    </xf>
    <xf numFmtId="164" fontId="13" fillId="6" borderId="1" xfId="0"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2" borderId="2" xfId="0" applyFont="true" applyBorder="true" applyAlignment="true" applyProtection="true">
      <alignment horizontal="center" vertical="center" textRotation="0" wrapText="true" indent="0" shrinkToFit="false"/>
      <protection locked="true" hidden="false"/>
    </xf>
    <xf numFmtId="164" fontId="6" fillId="5" borderId="2" xfId="0" applyFont="true" applyBorder="true" applyAlignment="true" applyProtection="true">
      <alignment horizontal="general" vertical="bottom" textRotation="0" wrapText="false" indent="0" shrinkToFit="false"/>
      <protection locked="true" hidden="false"/>
    </xf>
    <xf numFmtId="165" fontId="6" fillId="5" borderId="2" xfId="0" applyFont="true" applyBorder="true" applyAlignment="true" applyProtection="true">
      <alignment horizontal="general" vertical="bottom" textRotation="0" wrapText="false" indent="0" shrinkToFit="false"/>
      <protection locked="true" hidden="false"/>
    </xf>
    <xf numFmtId="166" fontId="6" fillId="5" borderId="2" xfId="0" applyFont="true" applyBorder="true" applyAlignment="true" applyProtection="true">
      <alignment horizontal="general" vertical="bottom" textRotation="0" wrapText="false" indent="0" shrinkToFit="false"/>
      <protection locked="true" hidden="false"/>
    </xf>
    <xf numFmtId="164" fontId="16" fillId="0" borderId="0" xfId="0" applyFont="true" applyBorder="tru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7" fontId="6" fillId="5" borderId="2" xfId="0" applyFont="true" applyBorder="true" applyAlignment="true" applyProtection="true">
      <alignment horizontal="general" vertical="center" textRotation="0" wrapText="false" indent="0" shrinkToFit="false"/>
      <protection locked="true" hidden="false"/>
    </xf>
    <xf numFmtId="164" fontId="6" fillId="6" borderId="3" xfId="0" applyFont="true" applyBorder="true" applyAlignment="true" applyProtection="true">
      <alignment horizontal="general" vertical="center" textRotation="0" wrapText="true" indent="0" shrinkToFit="false"/>
      <protection locked="true" hidden="false"/>
    </xf>
    <xf numFmtId="166" fontId="6" fillId="5" borderId="2" xfId="0" applyFont="true" applyBorder="true" applyAlignment="true" applyProtection="true">
      <alignment horizontal="general" vertical="center" textRotation="0" wrapText="false" indent="0" shrinkToFit="false"/>
      <protection locked="true" hidden="false"/>
    </xf>
    <xf numFmtId="168" fontId="6" fillId="5" borderId="2" xfId="0" applyFont="true" applyBorder="true" applyAlignment="true" applyProtection="true">
      <alignment horizontal="general" vertical="center" textRotation="0" wrapText="false" indent="0" shrinkToFit="false"/>
      <protection locked="true" hidden="false"/>
    </xf>
    <xf numFmtId="169" fontId="6" fillId="5" borderId="2" xfId="0" applyFont="true" applyBorder="true" applyAlignment="true" applyProtection="true">
      <alignment horizontal="center" vertical="bottom" textRotation="0" wrapText="false" indent="0" shrinkToFit="false"/>
      <protection locked="true" hidden="false"/>
    </xf>
    <xf numFmtId="164" fontId="6" fillId="5" borderId="3" xfId="0" applyFont="true" applyBorder="tru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7" fontId="6" fillId="5" borderId="2" xfId="0" applyFont="true" applyBorder="true" applyAlignment="true" applyProtection="true">
      <alignment horizontal="left"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13" fillId="8" borderId="1" xfId="0" applyFont="true" applyBorder="true" applyAlignment="true" applyProtection="true">
      <alignment horizontal="center" vertical="center" textRotation="0" wrapText="false" indent="0" shrinkToFit="false"/>
      <protection locked="true" hidden="false"/>
    </xf>
    <xf numFmtId="164" fontId="13" fillId="9" borderId="1" xfId="0" applyFont="true" applyBorder="true" applyAlignment="true" applyProtection="true">
      <alignment horizontal="center" vertical="center"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7" borderId="2" xfId="0" applyFont="true" applyBorder="true" applyAlignment="true" applyProtection="true">
      <alignment horizontal="center" vertical="center" textRotation="0" wrapText="true" indent="0" shrinkToFit="false"/>
      <protection locked="true" hidden="false"/>
    </xf>
    <xf numFmtId="169" fontId="6" fillId="5" borderId="2" xfId="0" applyFont="true" applyBorder="true" applyAlignment="true" applyProtection="true">
      <alignment horizontal="general" vertical="bottom" textRotation="0" wrapText="false" indent="0" shrinkToFit="false"/>
      <protection locked="true" hidden="false"/>
    </xf>
    <xf numFmtId="164" fontId="6" fillId="6" borderId="2" xfId="0" applyFont="true" applyBorder="true" applyAlignment="true" applyProtection="true">
      <alignment horizontal="general" vertical="bottom" textRotation="0" wrapText="false" indent="0" shrinkToFit="false"/>
      <protection locked="true" hidden="false"/>
    </xf>
    <xf numFmtId="170" fontId="6" fillId="5" borderId="2" xfId="0" applyFont="true" applyBorder="true" applyAlignment="true" applyProtection="true">
      <alignment horizontal="general" vertical="bottom" textRotation="0" wrapText="false" indent="0" shrinkToFit="false"/>
      <protection locked="true" hidden="false"/>
    </xf>
    <xf numFmtId="171" fontId="6" fillId="5" borderId="2" xfId="0" applyFont="true" applyBorder="true" applyAlignment="true" applyProtection="true">
      <alignment horizontal="general" vertical="bottom" textRotation="0" wrapText="false" indent="0" shrinkToFit="false"/>
      <protection locked="true" hidden="false"/>
    </xf>
    <xf numFmtId="172" fontId="6" fillId="6" borderId="2" xfId="0" applyFont="true" applyBorder="true" applyAlignment="true" applyProtection="true">
      <alignment horizontal="general" vertical="bottom" textRotation="0" wrapText="false" indent="0" shrinkToFit="false"/>
      <protection locked="true" hidden="false"/>
    </xf>
    <xf numFmtId="165" fontId="6" fillId="6" borderId="2" xfId="0" applyFont="true" applyBorder="true" applyAlignment="true" applyProtection="true">
      <alignment horizontal="general" vertical="bottom" textRotation="0" wrapText="false" indent="0" shrinkToFit="false"/>
      <protection locked="true" hidden="false"/>
    </xf>
    <xf numFmtId="173" fontId="6" fillId="6" borderId="2" xfId="0" applyFont="true" applyBorder="true" applyAlignment="true" applyProtection="true">
      <alignment horizontal="general" vertical="bottom" textRotation="0" wrapText="false" indent="0" shrinkToFit="false"/>
      <protection locked="true" hidden="false"/>
    </xf>
    <xf numFmtId="164" fontId="6" fillId="5" borderId="2" xfId="0" applyFont="true" applyBorder="true" applyAlignment="true" applyProtection="true">
      <alignment horizontal="center" vertical="bottom" textRotation="0" wrapText="false" indent="0" shrinkToFit="false"/>
      <protection locked="true" hidden="false"/>
    </xf>
    <xf numFmtId="174" fontId="6" fillId="5" borderId="2" xfId="0" applyFont="true" applyBorder="true" applyAlignment="true" applyProtection="true">
      <alignment horizontal="general" vertical="bottom" textRotation="0" wrapText="false" indent="0" shrinkToFit="false"/>
      <protection locked="true" hidden="false"/>
    </xf>
    <xf numFmtId="175" fontId="6" fillId="6" borderId="2" xfId="0" applyFont="true" applyBorder="true" applyAlignment="true" applyProtection="true">
      <alignment horizontal="general" vertical="bottom" textRotation="0" wrapText="false" indent="0" shrinkToFit="false"/>
      <protection locked="true" hidden="false"/>
    </xf>
    <xf numFmtId="164" fontId="8" fillId="4" borderId="2" xfId="0" applyFont="true" applyBorder="true" applyAlignment="true" applyProtection="true">
      <alignment horizontal="general" vertical="bottom" textRotation="0" wrapText="false" indent="0" shrinkToFit="false"/>
      <protection locked="true" hidden="false"/>
    </xf>
    <xf numFmtId="176" fontId="8" fillId="4" borderId="2" xfId="0" applyFont="true" applyBorder="true" applyAlignment="true" applyProtection="true">
      <alignment horizontal="general" vertical="bottom" textRotation="0" wrapText="false" indent="0" shrinkToFit="false"/>
      <protection locked="true" hidden="false"/>
    </xf>
    <xf numFmtId="165" fontId="8" fillId="4" borderId="2" xfId="0" applyFont="true" applyBorder="true" applyAlignment="true" applyProtection="true">
      <alignment horizontal="general" vertical="bottom" textRotation="0" wrapText="false" indent="0" shrinkToFit="false"/>
      <protection locked="true" hidden="false"/>
    </xf>
    <xf numFmtId="175" fontId="8" fillId="4" borderId="2" xfId="0" applyFont="true" applyBorder="true" applyAlignment="true" applyProtection="true">
      <alignment horizontal="general" vertical="bottom" textRotation="0" wrapText="false" indent="0" shrinkToFit="false"/>
      <protection locked="true" hidden="false"/>
    </xf>
    <xf numFmtId="176" fontId="6" fillId="6" borderId="2" xfId="0" applyFont="true" applyBorder="true" applyAlignment="true" applyProtection="true">
      <alignment horizontal="general" vertical="bottom" textRotation="0" wrapText="false" indent="0" shrinkToFit="false"/>
      <protection locked="true" hidden="false"/>
    </xf>
    <xf numFmtId="166" fontId="8" fillId="4" borderId="2" xfId="0" applyFont="true" applyBorder="true" applyAlignment="true" applyProtection="true">
      <alignment horizontal="general" vertical="bottom" textRotation="0" wrapText="false" indent="0" shrinkToFit="false"/>
      <protection locked="true" hidden="false"/>
    </xf>
    <xf numFmtId="164" fontId="13" fillId="10" borderId="1" xfId="0" applyFont="true" applyBorder="true" applyAlignment="true" applyProtection="true">
      <alignment horizontal="center" vertical="center" textRotation="0" wrapText="false" indent="0" shrinkToFit="false"/>
      <protection locked="true" hidden="false"/>
    </xf>
    <xf numFmtId="164" fontId="13" fillId="11" borderId="1" xfId="0" applyFont="true" applyBorder="true" applyAlignment="true" applyProtection="true">
      <alignment horizontal="center" vertical="center" textRotation="0" wrapText="false" indent="0" shrinkToFit="false"/>
      <protection locked="true" hidden="false"/>
    </xf>
    <xf numFmtId="164" fontId="13" fillId="12" borderId="1" xfId="0" applyFont="true" applyBorder="true" applyAlignment="true" applyProtection="true">
      <alignment horizontal="center" vertical="center" textRotation="0" wrapText="false" indent="0" shrinkToFit="false"/>
      <protection locked="true" hidden="false"/>
    </xf>
    <xf numFmtId="164" fontId="13" fillId="13" borderId="1" xfId="0" applyFont="true" applyBorder="true" applyAlignment="true" applyProtection="true">
      <alignment horizontal="center" vertical="center" textRotation="0" wrapText="false" indent="0" shrinkToFit="false"/>
      <protection locked="true" hidden="false"/>
    </xf>
    <xf numFmtId="168" fontId="20" fillId="0" borderId="0" xfId="0" applyFont="true" applyBorder="false" applyAlignment="true" applyProtection="true">
      <alignment horizontal="left" vertical="center" textRotation="0" wrapText="false" indent="0" shrinkToFit="false"/>
      <protection locked="true" hidden="false"/>
    </xf>
    <xf numFmtId="168" fontId="21" fillId="4" borderId="0" xfId="0" applyFont="true" applyBorder="false" applyAlignment="true" applyProtection="true">
      <alignment horizontal="left" vertical="center" textRotation="0" wrapText="false" indent="0" shrinkToFit="false"/>
      <protection locked="true" hidden="false"/>
    </xf>
    <xf numFmtId="177" fontId="22" fillId="2" borderId="0" xfId="0" applyFont="true" applyBorder="false" applyAlignment="true" applyProtection="true">
      <alignment horizontal="center" vertical="center" textRotation="0" wrapText="false" indent="0" shrinkToFit="false"/>
      <protection locked="true" hidden="false"/>
    </xf>
    <xf numFmtId="164" fontId="8" fillId="6" borderId="2" xfId="0" applyFont="true" applyBorder="true" applyAlignment="true" applyProtection="true">
      <alignment horizontal="general" vertical="bottom" textRotation="0" wrapText="false" indent="0" shrinkToFit="false"/>
      <protection locked="true" hidden="false"/>
    </xf>
    <xf numFmtId="178" fontId="6" fillId="6" borderId="2" xfId="0" applyFont="true" applyBorder="true" applyAlignment="true" applyProtection="true">
      <alignment horizontal="general" vertical="bottom" textRotation="0" wrapText="false" indent="0" shrinkToFit="false"/>
      <protection locked="true" hidden="false"/>
    </xf>
    <xf numFmtId="178" fontId="6" fillId="5" borderId="2" xfId="0" applyFont="true" applyBorder="true" applyAlignment="true" applyProtection="true">
      <alignment horizontal="general" vertical="bottom" textRotation="0" wrapText="false" indent="0" shrinkToFit="false"/>
      <protection locked="true" hidden="false"/>
    </xf>
    <xf numFmtId="168" fontId="6" fillId="6" borderId="2" xfId="0" applyFont="true" applyBorder="true" applyAlignment="true" applyProtection="true">
      <alignment horizontal="general" vertical="bottom" textRotation="0" wrapText="false" indent="0" shrinkToFit="false"/>
      <protection locked="true" hidden="false"/>
    </xf>
    <xf numFmtId="164" fontId="23" fillId="0" borderId="4" xfId="0" applyFont="true" applyBorder="true" applyAlignment="true" applyProtection="true">
      <alignment horizontal="center" vertical="bottom" textRotation="0" wrapText="false" indent="0" shrinkToFit="false"/>
      <protection locked="true" hidden="false"/>
    </xf>
    <xf numFmtId="164" fontId="17" fillId="0" borderId="0" xfId="0" applyFont="true" applyBorder="true" applyAlignment="true" applyProtection="true">
      <alignment horizontal="general" vertical="bottom" textRotation="0" wrapText="false" indent="0" shrinkToFit="false"/>
      <protection locked="true" hidden="false"/>
    </xf>
    <xf numFmtId="179" fontId="15" fillId="2" borderId="2" xfId="0" applyFont="true" applyBorder="true" applyAlignment="true" applyProtection="true">
      <alignment horizontal="center" vertical="center" textRotation="0" wrapText="true" indent="0" shrinkToFit="false"/>
      <protection locked="true" hidden="false"/>
    </xf>
    <xf numFmtId="168" fontId="8" fillId="6" borderId="2" xfId="0" applyFont="true" applyBorder="true" applyAlignment="true" applyProtection="true">
      <alignment horizontal="general" vertical="bottom" textRotation="0" wrapText="false" indent="0" shrinkToFit="false"/>
      <protection locked="true" hidden="false"/>
    </xf>
    <xf numFmtId="166" fontId="6" fillId="6" borderId="2" xfId="0" applyFont="true" applyBorder="true" applyAlignment="true" applyProtection="true">
      <alignment horizontal="general" vertical="bottom" textRotation="0" wrapText="false" indent="0" shrinkToFit="false"/>
      <protection locked="true" hidden="false"/>
    </xf>
    <xf numFmtId="180" fontId="6" fillId="6" borderId="2" xfId="0" applyFont="true" applyBorder="true" applyAlignment="true" applyProtection="true">
      <alignment horizontal="general" vertical="bottom" textRotation="0" wrapText="false" indent="0" shrinkToFit="false"/>
      <protection locked="true" hidden="false"/>
    </xf>
    <xf numFmtId="173" fontId="8" fillId="6" borderId="2" xfId="0" applyFont="true" applyBorder="true" applyAlignment="true" applyProtection="true">
      <alignment horizontal="general" vertical="bottom" textRotation="0" wrapText="false" indent="0" shrinkToFit="false"/>
      <protection locked="true" hidden="false"/>
    </xf>
    <xf numFmtId="173" fontId="8" fillId="4" borderId="2" xfId="0" applyFont="true" applyBorder="true" applyAlignment="true" applyProtection="true">
      <alignment horizontal="general" vertical="bottom" textRotation="0" wrapText="false" indent="0" shrinkToFit="false"/>
      <protection locked="true" hidden="false"/>
    </xf>
    <xf numFmtId="181" fontId="6" fillId="5" borderId="2" xfId="0" applyFont="true" applyBorder="true" applyAlignment="true" applyProtection="true">
      <alignment horizontal="general" vertical="bottom" textRotation="0" wrapText="false" indent="0" shrinkToFit="false"/>
      <protection locked="true" hidden="false"/>
    </xf>
    <xf numFmtId="182" fontId="6" fillId="6" borderId="2" xfId="0" applyFont="true" applyBorder="true" applyAlignment="true" applyProtection="true">
      <alignment horizontal="general" vertical="bottom" textRotation="0" wrapText="false" indent="0" shrinkToFit="false"/>
      <protection locked="true" hidden="false"/>
    </xf>
    <xf numFmtId="164" fontId="24" fillId="0" borderId="0" xfId="0" applyFont="true" applyBorder="false" applyAlignment="true" applyProtection="true">
      <alignment horizontal="general" vertical="bottom" textRotation="0" wrapText="false" indent="0" shrinkToFit="false"/>
      <protection locked="true" hidden="false"/>
    </xf>
    <xf numFmtId="166" fontId="8" fillId="6" borderId="2" xfId="0" applyFont="true" applyBorder="true" applyAlignment="true" applyProtection="true">
      <alignment horizontal="general" vertical="bottom" textRotation="0" wrapText="false" indent="0" shrinkToFit="false"/>
      <protection locked="true" hidden="false"/>
    </xf>
    <xf numFmtId="183" fontId="6" fillId="6" borderId="2" xfId="0" applyFont="true" applyBorder="true" applyAlignment="true" applyProtection="true">
      <alignment horizontal="general" vertical="bottom" textRotation="0" wrapText="false" indent="0" shrinkToFit="false"/>
      <protection locked="true" hidden="false"/>
    </xf>
    <xf numFmtId="164" fontId="13" fillId="14" borderId="1" xfId="0" applyFont="true" applyBorder="true" applyAlignment="true" applyProtection="true">
      <alignment horizontal="center" vertical="center" textRotation="0" wrapText="false" indent="0" shrinkToFit="false"/>
      <protection locked="true" hidden="false"/>
    </xf>
    <xf numFmtId="164" fontId="16" fillId="0" borderId="0" xfId="0" applyFont="true" applyBorder="false" applyAlignment="true" applyProtection="true">
      <alignment horizontal="general" vertical="center" textRotation="0" wrapText="false" indent="0" shrinkToFit="false"/>
      <protection locked="true" hidden="false"/>
    </xf>
    <xf numFmtId="184" fontId="15" fillId="2" borderId="2" xfId="0" applyFont="true" applyBorder="true" applyAlignment="true" applyProtection="true">
      <alignment horizontal="center" vertical="center" textRotation="0" wrapText="true" indent="0" shrinkToFit="false"/>
      <protection locked="true" hidden="false"/>
    </xf>
    <xf numFmtId="169" fontId="6" fillId="5" borderId="2" xfId="0" applyFont="true" applyBorder="true" applyAlignment="true" applyProtection="true">
      <alignment horizontal="general" vertical="top" textRotation="0" wrapText="false" indent="0" shrinkToFit="false"/>
      <protection locked="true" hidden="false"/>
    </xf>
    <xf numFmtId="164" fontId="6" fillId="5" borderId="2" xfId="0" applyFont="true" applyBorder="true" applyAlignment="true" applyProtection="true">
      <alignment horizontal="general" vertical="top" textRotation="0" wrapText="true" indent="0" shrinkToFit="false"/>
      <protection locked="true" hidden="false"/>
    </xf>
    <xf numFmtId="164" fontId="6" fillId="5" borderId="2" xfId="0" applyFont="true" applyBorder="true" applyAlignment="true" applyProtection="true">
      <alignment horizontal="center" vertical="top" textRotation="0" wrapText="false" indent="0" shrinkToFit="false"/>
      <protection locked="true" hidden="false"/>
    </xf>
    <xf numFmtId="185" fontId="6" fillId="6" borderId="2" xfId="0" applyFont="true" applyBorder="true" applyAlignment="true" applyProtection="true">
      <alignment horizontal="center" vertical="top" textRotation="0" wrapText="false" indent="0" shrinkToFit="false"/>
      <protection locked="true" hidden="false"/>
    </xf>
    <xf numFmtId="164" fontId="6" fillId="6" borderId="2" xfId="0" applyFont="true" applyBorder="true" applyAlignment="true" applyProtection="true">
      <alignment horizontal="general" vertical="top" textRotation="0" wrapText="false" indent="0" shrinkToFit="false"/>
      <protection locked="true" hidden="false"/>
    </xf>
    <xf numFmtId="164" fontId="6" fillId="5" borderId="2" xfId="0" applyFont="true" applyBorder="true" applyAlignment="true" applyProtection="true">
      <alignment horizontal="general" vertical="top" textRotation="0" wrapText="false" indent="0" shrinkToFit="false"/>
      <protection locked="true" hidden="false"/>
    </xf>
    <xf numFmtId="178" fontId="6" fillId="5" borderId="2" xfId="0" applyFont="true" applyBorder="true" applyAlignment="true" applyProtection="true">
      <alignment horizontal="general" vertical="top" textRotation="0" wrapText="false" indent="0" shrinkToFit="false"/>
      <protection locked="true" hidden="false"/>
    </xf>
    <xf numFmtId="171" fontId="6" fillId="5" borderId="2" xfId="0" applyFont="true" applyBorder="true" applyAlignment="true" applyProtection="true">
      <alignment horizontal="general" vertical="top" textRotation="0" wrapText="false" indent="0" shrinkToFit="false"/>
      <protection locked="true" hidden="false"/>
    </xf>
    <xf numFmtId="173" fontId="6" fillId="6" borderId="2" xfId="0" applyFont="true" applyBorder="true" applyAlignment="true" applyProtection="true">
      <alignment horizontal="general" vertical="top" textRotation="0" wrapText="false" indent="0" shrinkToFit="false"/>
      <protection locked="true" hidden="false"/>
    </xf>
    <xf numFmtId="185" fontId="6" fillId="6" borderId="2" xfId="0" applyFont="true" applyBorder="true" applyAlignment="true" applyProtection="true">
      <alignment horizontal="general" vertical="top" textRotation="0" wrapText="false" indent="0" shrinkToFit="false"/>
      <protection locked="true" hidden="false"/>
    </xf>
    <xf numFmtId="186" fontId="15" fillId="2" borderId="2" xfId="0" applyFont="true" applyBorder="true" applyAlignment="true" applyProtection="true">
      <alignment horizontal="center" vertical="center" textRotation="0" wrapText="true" indent="0" shrinkToFit="false"/>
      <protection locked="true" hidden="false"/>
    </xf>
    <xf numFmtId="187" fontId="25" fillId="8" borderId="2" xfId="0" applyFont="true" applyBorder="true" applyAlignment="true" applyProtection="true">
      <alignment horizontal="center" vertical="bottom" textRotation="0" wrapText="false" indent="0" shrinkToFit="false"/>
      <protection locked="true" hidden="false"/>
    </xf>
    <xf numFmtId="187" fontId="25" fillId="9" borderId="2" xfId="0" applyFont="true" applyBorder="true" applyAlignment="true" applyProtection="true">
      <alignment horizontal="center" vertical="bottom" textRotation="0" wrapText="false" indent="0" shrinkToFit="false"/>
      <protection locked="true" hidden="false"/>
    </xf>
    <xf numFmtId="187" fontId="25" fillId="14" borderId="2" xfId="0" applyFont="true" applyBorder="true" applyAlignment="true" applyProtection="true">
      <alignment horizontal="center" vertical="bottom" textRotation="0" wrapText="false" indent="0" shrinkToFit="false"/>
      <protection locked="true" hidden="false"/>
    </xf>
    <xf numFmtId="168" fontId="6" fillId="4" borderId="2" xfId="0" applyFont="true" applyBorder="true" applyAlignment="true" applyProtection="true">
      <alignment horizontal="center" vertical="bottom" textRotation="0" wrapText="false" indent="0" shrinkToFit="false"/>
      <protection locked="true" hidden="false"/>
    </xf>
    <xf numFmtId="168" fontId="6" fillId="9" borderId="2" xfId="0" applyFont="true" applyBorder="true" applyAlignment="true" applyProtection="true">
      <alignment horizontal="center" vertical="bottom" textRotation="0" wrapText="false" indent="0" shrinkToFit="false"/>
      <protection locked="true" hidden="false"/>
    </xf>
    <xf numFmtId="168" fontId="6" fillId="8" borderId="2" xfId="0" applyFont="true" applyBorder="true" applyAlignment="true" applyProtection="true">
      <alignment horizontal="center" vertical="bottom" textRotation="0" wrapText="false" indent="0" shrinkToFit="false"/>
      <protection locked="true" hidden="false"/>
    </xf>
    <xf numFmtId="168" fontId="6" fillId="14" borderId="2" xfId="0" applyFont="true" applyBorder="true" applyAlignment="true" applyProtection="true">
      <alignment horizontal="center" vertical="bottom" textRotation="0" wrapText="false" indent="0" shrinkToFit="false"/>
      <protection locked="true" hidden="false"/>
    </xf>
    <xf numFmtId="164" fontId="6" fillId="6" borderId="3" xfId="0" applyFont="true" applyBorder="true" applyAlignment="true" applyProtection="true">
      <alignment horizontal="general" vertical="bottom" textRotation="0" wrapText="false" indent="0" shrinkToFit="false"/>
      <protection locked="true" hidden="false"/>
    </xf>
    <xf numFmtId="164" fontId="6" fillId="6" borderId="2" xfId="0" applyFont="true" applyBorder="true" applyAlignment="true" applyProtection="true">
      <alignment horizontal="center" vertical="bottom" textRotation="0" wrapText="false" indent="0" shrinkToFit="false"/>
      <protection locked="true" hidden="false"/>
    </xf>
    <xf numFmtId="168" fontId="8" fillId="4" borderId="2" xfId="0" applyFont="true" applyBorder="true" applyAlignment="true" applyProtection="true">
      <alignment horizontal="general" vertical="bottom" textRotation="0" wrapText="false" indent="0" shrinkToFit="false"/>
      <protection locked="true" hidden="false"/>
    </xf>
    <xf numFmtId="164" fontId="6" fillId="6" borderId="2" xfId="0" applyFont="true" applyBorder="tru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5" fontId="8" fillId="6" borderId="2"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bgColor rgb="FFF8D7DA"/>
        </patternFill>
      </fill>
    </dxf>
    <dxf>
      <fill>
        <patternFill>
          <bgColor rgb="FFFAD7A0"/>
        </patternFill>
      </fill>
    </dxf>
    <dxf>
      <fill>
        <patternFill>
          <bgColor rgb="FFD8F0DF"/>
        </patternFill>
      </fill>
    </dxf>
    <dxf>
      <fill>
        <patternFill>
          <bgColor rgb="FFF2CF3C"/>
        </patternFill>
      </fill>
    </dxf>
    <dxf>
      <fill>
        <patternFill>
          <bgColor rgb="FFD9C2E6"/>
        </patternFill>
      </fill>
    </dxf>
    <dxf>
      <fill>
        <patternFill>
          <bgColor rgb="FFD5D9E2"/>
        </patternFill>
      </fill>
    </dxf>
    <dxf>
      <fill>
        <patternFill>
          <bgColor rgb="FFAFC0F5"/>
        </patternFill>
      </fill>
    </dxf>
    <dxf>
      <fill>
        <patternFill>
          <bgColor rgb="FFFDECEC"/>
        </patternFill>
      </fill>
    </dxf>
    <dxf>
      <border diagonalUp="false" diagonalDown="false">
        <left style="thin">
          <color rgb="FF5B6478"/>
        </left>
        <right/>
        <top/>
        <bottom/>
        <diagonal/>
      </border>
    </dxf>
    <dxf>
      <fill>
        <patternFill>
          <bgColor rgb="FFF4B6A6"/>
        </patternFill>
      </fill>
    </dxf>
  </dxfs>
  <colors>
    <indexedColors>
      <rgbColor rgb="FF000000"/>
      <rgbColor rgb="FFFFFFFF"/>
      <rgbColor rgb="FFFF0000"/>
      <rgbColor rgb="FF00FF00"/>
      <rgbColor rgb="FF0000FF"/>
      <rgbColor rgb="FFE3E6EC"/>
      <rgbColor rgb="FFFF00FF"/>
      <rgbColor rgb="FF00FFFF"/>
      <rgbColor rgb="FF800000"/>
      <rgbColor rgb="FF008000"/>
      <rgbColor rgb="FF000080"/>
      <rgbColor rgb="FF808000"/>
      <rgbColor rgb="FF800080"/>
      <rgbColor rgb="FF008080"/>
      <rgbColor rgb="FFB3B3B3"/>
      <rgbColor rgb="FF808080"/>
      <rgbColor rgb="FFD5D9E2"/>
      <rgbColor rgb="FF993366"/>
      <rgbColor rgb="FFFFF6D6"/>
      <rgbColor rgb="FFEAEFFD"/>
      <rgbColor rgb="FF660066"/>
      <rgbColor rgb="FFF8D7DA"/>
      <rgbColor rgb="FF0066CC"/>
      <rgbColor rgb="FFC3CCF3"/>
      <rgbColor rgb="FF000080"/>
      <rgbColor rgb="FFFF00FF"/>
      <rgbColor rgb="FFF3F5F8"/>
      <rgbColor rgb="FF00FFFF"/>
      <rgbColor rgb="FF800080"/>
      <rgbColor rgb="FF800000"/>
      <rgbColor rgb="FF008080"/>
      <rgbColor rgb="FF0000FF"/>
      <rgbColor rgb="FF00CCFF"/>
      <rgbColor rgb="FFE3E8FB"/>
      <rgbColor rgb="FFD8F0DF"/>
      <rgbColor rgb="FFFDECEC"/>
      <rgbColor rgb="FFAFC0F5"/>
      <rgbColor rgb="FFF4B6A6"/>
      <rgbColor rgb="FFD9C2E6"/>
      <rgbColor rgb="FFFAD7A0"/>
      <rgbColor rgb="FF3366FF"/>
      <rgbColor rgb="FF33CCCC"/>
      <rgbColor rgb="FFD5DAE3"/>
      <rgbColor rgb="FFF2CF3C"/>
      <rgbColor rgb="FFFF9900"/>
      <rgbColor rgb="FFFF6600"/>
      <rgbColor rgb="FF5B6478"/>
      <rgbColor rgb="FFD9D9D9"/>
      <rgbColor rgb="FF1B2559"/>
      <rgbColor rgb="FF339966"/>
      <rgbColor rgb="FF003300"/>
      <rgbColor rgb="FF333300"/>
      <rgbColor rgb="FF993300"/>
      <rgbColor rgb="FF993366"/>
      <rgbColor rgb="FF2443C9"/>
      <rgbColor rgb="FF141A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Spending per month and running total (€ excl. VAT)</a:t>
            </a:r>
          </a:p>
        </c:rich>
      </c:tx>
      <c:overlay val="0"/>
      <c:spPr>
        <a:noFill/>
        <a:ln w="0">
          <a:noFill/>
        </a:ln>
      </c:spPr>
    </c:title>
    <c:autoTitleDeleted val="0"/>
    <c:plotArea>
      <c:barChart>
        <c:barDir val="col"/>
        <c:grouping val="clustered"/>
        <c:varyColors val="0"/>
        <c:ser>
          <c:idx val="0"/>
          <c:order val="0"/>
          <c:tx>
            <c:strRef>
              <c:f>'Cash flow'!A6</c:f>
              <c:strCache>
                <c:ptCount val="1"/>
                <c:pt idx="0">
                  <c:v>Spending in the month (€ excl. VAT)</c:v>
                </c:pt>
              </c:strCache>
            </c:strRef>
          </c:tx>
          <c:spPr>
            <a:solidFill>
              <a:srgbClr val="afc0f5"/>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flow'!$B$5:$M$5</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'Cash flow'!$B$6:$M$6</c:f>
              <c:numCache>
                <c:formatCode>#,##0" €";\-#,##0" €";\-</c:formatCode>
                <c:ptCount val="12"/>
                <c:pt idx="0">
                  <c:v>15124.1447368421</c:v>
                </c:pt>
                <c:pt idx="1">
                  <c:v>13611.7302631579</c:v>
                </c:pt>
                <c:pt idx="2">
                  <c:v>15471.2063040063</c:v>
                </c:pt>
                <c:pt idx="3">
                  <c:v>15818.2678711705</c:v>
                </c:pt>
                <c:pt idx="4">
                  <c:v>16300.0946582875</c:v>
                </c:pt>
                <c:pt idx="5">
                  <c:v>15200.0946582875</c:v>
                </c:pt>
                <c:pt idx="6">
                  <c:v>15741.6401918977</c:v>
                </c:pt>
                <c:pt idx="7">
                  <c:v>21735.8089440018</c:v>
                </c:pt>
                <c:pt idx="8">
                  <c:v>14525.1222121657</c:v>
                </c:pt>
                <c:pt idx="9">
                  <c:v>8386.60640732265</c:v>
                </c:pt>
                <c:pt idx="10">
                  <c:v>15375.4450800915</c:v>
                </c:pt>
                <c:pt idx="11">
                  <c:v>6988.83867276888</c:v>
                </c:pt>
              </c:numCache>
            </c:numRef>
          </c:val>
        </c:ser>
        <c:gapWidth val="150"/>
        <c:overlap val="0"/>
        <c:axId val="13136501"/>
        <c:axId val="26483140"/>
      </c:barChart>
      <c:lineChart>
        <c:grouping val="standard"/>
        <c:varyColors val="0"/>
        <c:ser>
          <c:idx val="1"/>
          <c:order val="1"/>
          <c:tx>
            <c:strRef>
              <c:f>'Cash flow'!A7</c:f>
              <c:strCache>
                <c:ptCount val="1"/>
                <c:pt idx="0">
                  <c:v>Running total (€ excl. VAT)</c:v>
                </c:pt>
              </c:strCache>
            </c:strRef>
          </c:tx>
          <c:spPr>
            <a:solidFill>
              <a:srgbClr val="2443c9"/>
            </a:solidFill>
            <a:ln w="28080">
              <a:solidFill>
                <a:srgbClr val="2443c9"/>
              </a:solidFill>
              <a:round/>
            </a:ln>
          </c:spPr>
          <c:marker>
            <c:symbol val="none"/>
          </c:marker>
          <c:dLbls>
            <c:txPr>
              <a:bodyPr wrap="non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'Cash flow'!$B$5:$M$5</c:f>
              <c:strCache>
                <c:ptCount val="12"/>
                <c:pt idx="0">
                  <c:v>Nov 26</c:v>
                </c:pt>
                <c:pt idx="1">
                  <c:v>Dec 26</c:v>
                </c:pt>
                <c:pt idx="2">
                  <c:v>Jan 27</c:v>
                </c:pt>
                <c:pt idx="3">
                  <c:v>Feb 27</c:v>
                </c:pt>
                <c:pt idx="4">
                  <c:v>Mar 27</c:v>
                </c:pt>
                <c:pt idx="5">
                  <c:v>Apr 27</c:v>
                </c:pt>
                <c:pt idx="6">
                  <c:v>May 27</c:v>
                </c:pt>
                <c:pt idx="7">
                  <c:v>Jun 27</c:v>
                </c:pt>
                <c:pt idx="8">
                  <c:v>Jul 27</c:v>
                </c:pt>
                <c:pt idx="9">
                  <c:v>Aug 27</c:v>
                </c:pt>
                <c:pt idx="10">
                  <c:v>Sep 27</c:v>
                </c:pt>
                <c:pt idx="11">
                  <c:v>Oct 27</c:v>
                </c:pt>
              </c:strCache>
            </c:strRef>
          </c:cat>
          <c:val>
            <c:numRef>
              <c:f>'Cash flow'!$B$7:$M$7</c:f>
              <c:numCache>
                <c:formatCode>#,##0" €";\-#,##0" €";\-</c:formatCode>
                <c:ptCount val="12"/>
                <c:pt idx="0">
                  <c:v>15124.1447368421</c:v>
                </c:pt>
                <c:pt idx="1">
                  <c:v>28735.875</c:v>
                </c:pt>
                <c:pt idx="2">
                  <c:v>44207.0813040063</c:v>
                </c:pt>
                <c:pt idx="3">
                  <c:v>60025.3491751768</c:v>
                </c:pt>
                <c:pt idx="4">
                  <c:v>76325.4438334643</c:v>
                </c:pt>
                <c:pt idx="5">
                  <c:v>91525.5384917518</c:v>
                </c:pt>
                <c:pt idx="6">
                  <c:v>107267.178683649</c:v>
                </c:pt>
                <c:pt idx="7">
                  <c:v>129002.987627651</c:v>
                </c:pt>
                <c:pt idx="8">
                  <c:v>143528.109839817</c:v>
                </c:pt>
                <c:pt idx="9">
                  <c:v>151914.71624714</c:v>
                </c:pt>
                <c:pt idx="10">
                  <c:v>167290.161327231</c:v>
                </c:pt>
                <c:pt idx="11">
                  <c:v>174279</c:v>
                </c:pt>
              </c:numCache>
            </c:numRef>
          </c:val>
          <c:smooth val="0"/>
        </c:ser>
        <c:hiLowLines>
          <c:spPr>
            <a:ln w="0">
              <a:noFill/>
            </a:ln>
          </c:spPr>
        </c:hiLowLines>
        <c:marker val="0"/>
        <c:axId val="81545471"/>
        <c:axId val="75002949"/>
      </c:lineChart>
      <c:catAx>
        <c:axId val="13136501"/>
        <c:scaling>
          <c:orientation val="minMax"/>
        </c:scaling>
        <c:delete val="0"/>
        <c:axPos val="b"/>
        <c:numFmt formatCode="[$-409]mmm\ yy"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26483140"/>
        <c:crosses val="autoZero"/>
        <c:auto val="1"/>
        <c:lblAlgn val="ctr"/>
        <c:lblOffset val="100"/>
        <c:noMultiLvlLbl val="0"/>
      </c:catAx>
      <c:valAx>
        <c:axId val="26483140"/>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Per month (€)</a:t>
                </a:r>
              </a:p>
            </c:rich>
          </c:tx>
          <c:overlay val="0"/>
          <c:spPr>
            <a:noFill/>
            <a:ln w="0">
              <a:noFill/>
            </a:ln>
          </c:spPr>
        </c:title>
        <c:numFmt formatCode="#,##0&quot; €&quot;"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13136501"/>
        <c:crosses val="autoZero"/>
        <c:crossBetween val="between"/>
      </c:valAx>
      <c:catAx>
        <c:axId val="81545471"/>
        <c:scaling>
          <c:orientation val="minMax"/>
        </c:scaling>
        <c:delete val="0"/>
        <c:axPos val="t"/>
        <c:numFmt formatCode="[$-409]mmm\ yy"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75002949"/>
        <c:crosses val="autoZero"/>
        <c:auto val="1"/>
        <c:lblAlgn val="ctr"/>
        <c:lblOffset val="100"/>
        <c:noMultiLvlLbl val="0"/>
      </c:catAx>
      <c:valAx>
        <c:axId val="75002949"/>
        <c:scaling>
          <c:orientation val="minMax"/>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Running total (€)</a:t>
                </a:r>
              </a:p>
            </c:rich>
          </c:tx>
          <c:overlay val="0"/>
          <c:spPr>
            <a:noFill/>
            <a:ln w="0">
              <a:noFill/>
            </a:ln>
          </c:spPr>
        </c:title>
        <c:numFmt formatCode="#,##0&quot; €&quot;"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81545471"/>
        <c:crosses val="max"/>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17</xdr:row>
      <xdr:rowOff>0</xdr:rowOff>
    </xdr:from>
    <xdr:to>
      <xdr:col>7</xdr:col>
      <xdr:colOff>165960</xdr:colOff>
      <xdr:row>33</xdr:row>
      <xdr:rowOff>11520</xdr:rowOff>
    </xdr:to>
    <xdr:graphicFrame>
      <xdr:nvGraphicFramePr>
        <xdr:cNvPr id="0" name="Chart 1"/>
        <xdr:cNvGraphicFramePr/>
      </xdr:nvGraphicFramePr>
      <xdr:xfrm>
        <a:off x="0" y="3400560"/>
        <a:ext cx="7919280" cy="305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8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0"/>
  </cols>
  <sheetData>
    <row r="1" customFormat="false" ht="24" hidden="false" customHeight="true" outlineLevel="0" collapsed="false">
      <c r="A1" s="2" t="s">
        <v>0</v>
      </c>
    </row>
    <row r="2" customFormat="false" ht="15.75" hidden="false" customHeight="true" outlineLevel="0" collapsed="false">
      <c r="A2" s="3" t="s">
        <v>1</v>
      </c>
    </row>
    <row r="3" customFormat="false" ht="28.5" hidden="false" customHeight="true" outlineLevel="0" collapsed="false">
      <c r="A3" s="4" t="s">
        <v>2</v>
      </c>
    </row>
    <row r="4" customFormat="false" ht="15.75" hidden="false" customHeight="true" outlineLevel="0" collapsed="false">
      <c r="A4" s="4"/>
    </row>
    <row r="5" customFormat="false" ht="19.5" hidden="false" customHeight="true" outlineLevel="0" collapsed="false">
      <c r="A5" s="5" t="s">
        <v>3</v>
      </c>
    </row>
    <row r="6" customFormat="false" ht="31.5" hidden="false" customHeight="true" outlineLevel="0" collapsed="false">
      <c r="A6" s="6" t="s">
        <v>4</v>
      </c>
    </row>
    <row r="7" customFormat="false" ht="31.5" hidden="false" customHeight="true" outlineLevel="0" collapsed="false">
      <c r="A7" s="6" t="s">
        <v>5</v>
      </c>
    </row>
    <row r="8" customFormat="false" ht="31.5" hidden="false" customHeight="true" outlineLevel="0" collapsed="false">
      <c r="A8" s="6" t="s">
        <v>6</v>
      </c>
    </row>
    <row r="9" customFormat="false" ht="31.5" hidden="false" customHeight="true" outlineLevel="0" collapsed="false">
      <c r="A9" s="6" t="s">
        <v>7</v>
      </c>
    </row>
    <row r="10" customFormat="false" ht="45.75" hidden="false" customHeight="true" outlineLevel="0" collapsed="false">
      <c r="A10" s="7" t="s">
        <v>8</v>
      </c>
    </row>
    <row r="11" customFormat="false" ht="12" hidden="false" customHeight="true" outlineLevel="0" collapsed="false">
      <c r="A11" s="4"/>
    </row>
    <row r="12" customFormat="false" ht="18" hidden="false" customHeight="true" outlineLevel="0" collapsed="false">
      <c r="A12" s="8" t="s">
        <v>9</v>
      </c>
    </row>
    <row r="13" customFormat="false" ht="18" hidden="false" customHeight="true" outlineLevel="0" collapsed="false">
      <c r="A13" s="9" t="s">
        <v>10</v>
      </c>
    </row>
    <row r="14" customFormat="false" ht="18" hidden="false" customHeight="true" outlineLevel="0" collapsed="false">
      <c r="A14" s="10" t="s">
        <v>11</v>
      </c>
    </row>
    <row r="15" customFormat="false" ht="18" hidden="false" customHeight="true" outlineLevel="0" collapsed="false">
      <c r="A15" s="11" t="s">
        <v>12</v>
      </c>
    </row>
    <row r="16" customFormat="false" ht="18" hidden="false" customHeight="true" outlineLevel="0" collapsed="false">
      <c r="A16" s="12" t="s">
        <v>13</v>
      </c>
    </row>
    <row r="17" customFormat="false" ht="18" hidden="false" customHeight="true" outlineLevel="0" collapsed="false">
      <c r="A17" s="13" t="s">
        <v>14</v>
      </c>
    </row>
    <row r="18" customFormat="false" ht="12" hidden="false" customHeight="true" outlineLevel="0" collapsed="false">
      <c r="A18" s="4"/>
    </row>
    <row r="19" customFormat="false" ht="18" hidden="false" customHeight="true" outlineLevel="0" collapsed="false">
      <c r="A19" s="8" t="s">
        <v>15</v>
      </c>
    </row>
    <row r="20" customFormat="false" ht="31.5" hidden="false" customHeight="true" outlineLevel="0" collapsed="false">
      <c r="A20" s="4" t="s">
        <v>16</v>
      </c>
    </row>
    <row r="21" customFormat="false" ht="31.5" hidden="false" customHeight="true" outlineLevel="0" collapsed="false">
      <c r="A21" s="4" t="s">
        <v>17</v>
      </c>
    </row>
    <row r="22" customFormat="false" ht="31.5" hidden="false" customHeight="true" outlineLevel="0" collapsed="false">
      <c r="A22" s="4" t="s">
        <v>18</v>
      </c>
    </row>
    <row r="23" customFormat="false" ht="31.5" hidden="false" customHeight="true" outlineLevel="0" collapsed="false">
      <c r="A23" s="4" t="s">
        <v>19</v>
      </c>
    </row>
    <row r="24" customFormat="false" ht="31.5" hidden="false" customHeight="true" outlineLevel="0" collapsed="false">
      <c r="A24" s="4" t="s">
        <v>20</v>
      </c>
    </row>
    <row r="25" customFormat="false" ht="31.5" hidden="false" customHeight="true" outlineLevel="0" collapsed="false">
      <c r="A25" s="4" t="s">
        <v>21</v>
      </c>
    </row>
    <row r="26" customFormat="false" ht="31.5" hidden="false" customHeight="true" outlineLevel="0" collapsed="false">
      <c r="A26" s="4" t="s">
        <v>22</v>
      </c>
    </row>
    <row r="27" customFormat="false" ht="12" hidden="false" customHeight="true" outlineLevel="0" collapsed="false">
      <c r="A27" s="4"/>
    </row>
    <row r="28" customFormat="false" ht="19.5" hidden="false" customHeight="true" outlineLevel="0" collapsed="false">
      <c r="A28" s="8" t="s">
        <v>23</v>
      </c>
    </row>
    <row r="29" customFormat="false" ht="42" hidden="false" customHeight="true" outlineLevel="0" collapsed="false">
      <c r="A29" s="4" t="s">
        <v>24</v>
      </c>
    </row>
    <row r="30" customFormat="false" ht="42" hidden="false" customHeight="true" outlineLevel="0" collapsed="false">
      <c r="A30" s="4" t="s">
        <v>25</v>
      </c>
    </row>
    <row r="31" customFormat="false" ht="28.5" hidden="false" customHeight="true" outlineLevel="0" collapsed="false">
      <c r="A31" s="4" t="s">
        <v>26</v>
      </c>
    </row>
    <row r="32" customFormat="false" ht="28.5" hidden="false" customHeight="true" outlineLevel="0" collapsed="false">
      <c r="A32" s="4" t="s">
        <v>27</v>
      </c>
    </row>
    <row r="33" customFormat="false" ht="28.5" hidden="false" customHeight="true" outlineLevel="0" collapsed="false">
      <c r="A33" s="4" t="s">
        <v>28</v>
      </c>
    </row>
    <row r="34" customFormat="false" ht="15.75" hidden="false" customHeight="true" outlineLevel="0" collapsed="false">
      <c r="A34" s="4"/>
    </row>
    <row r="35" customFormat="false" ht="19.5" hidden="false" customHeight="true" outlineLevel="0" collapsed="false">
      <c r="A35" s="8" t="s">
        <v>29</v>
      </c>
    </row>
    <row r="36" customFormat="false" ht="42" hidden="false" customHeight="true" outlineLevel="0" collapsed="false">
      <c r="A36" s="4" t="s">
        <v>30</v>
      </c>
    </row>
    <row r="37" customFormat="false" ht="42" hidden="false" customHeight="true" outlineLevel="0" collapsed="false">
      <c r="A37" s="4" t="s">
        <v>31</v>
      </c>
    </row>
    <row r="38" customFormat="false" ht="42" hidden="false" customHeight="true" outlineLevel="0" collapsed="false">
      <c r="A38" s="4" t="s">
        <v>32</v>
      </c>
    </row>
    <row r="39" customFormat="false" ht="42" hidden="false" customHeight="true" outlineLevel="0" collapsed="false">
      <c r="A39" s="14" t="s">
        <v>33</v>
      </c>
    </row>
    <row r="40" customFormat="false" ht="42" hidden="false" customHeight="true" outlineLevel="0" collapsed="false">
      <c r="A40" s="4" t="s">
        <v>34</v>
      </c>
    </row>
    <row r="41" customFormat="false" ht="42" hidden="false" customHeight="true" outlineLevel="0" collapsed="false">
      <c r="A41" s="4" t="s">
        <v>35</v>
      </c>
    </row>
    <row r="42" customFormat="false" ht="54.75" hidden="false" customHeight="true" outlineLevel="0" collapsed="false">
      <c r="A42" s="4" t="s">
        <v>36</v>
      </c>
    </row>
    <row r="43" customFormat="false" ht="28.5" hidden="false" customHeight="true" outlineLevel="0" collapsed="false">
      <c r="A43" s="4" t="s">
        <v>37</v>
      </c>
    </row>
    <row r="44" customFormat="false" ht="31.5" hidden="false" customHeight="true" outlineLevel="0" collapsed="false">
      <c r="A44" s="4" t="s">
        <v>38</v>
      </c>
    </row>
    <row r="45" customFormat="false" ht="15.75" hidden="false" customHeight="true" outlineLevel="0" collapsed="false">
      <c r="A45" s="4"/>
    </row>
    <row r="46" customFormat="false" ht="19.5" hidden="false" customHeight="true" outlineLevel="0" collapsed="false">
      <c r="A46" s="8" t="s">
        <v>39</v>
      </c>
    </row>
    <row r="47" customFormat="false" ht="42" hidden="false" customHeight="true" outlineLevel="0" collapsed="false">
      <c r="A47" s="4" t="s">
        <v>40</v>
      </c>
    </row>
    <row r="48" customFormat="false" ht="28.5" hidden="false" customHeight="true" outlineLevel="0" collapsed="false">
      <c r="A48" s="4" t="s">
        <v>41</v>
      </c>
    </row>
    <row r="49" customFormat="false" ht="28.5" hidden="false" customHeight="true" outlineLevel="0" collapsed="false">
      <c r="A49" s="4" t="s">
        <v>42</v>
      </c>
    </row>
    <row r="50" customFormat="false" ht="42" hidden="false" customHeight="true" outlineLevel="0" collapsed="false">
      <c r="A50" s="4" t="s">
        <v>43</v>
      </c>
    </row>
    <row r="51" customFormat="false" ht="28.5" hidden="false" customHeight="true" outlineLevel="0" collapsed="false">
      <c r="A51" s="4" t="s">
        <v>44</v>
      </c>
    </row>
    <row r="52" customFormat="false" ht="42" hidden="false" customHeight="true" outlineLevel="0" collapsed="false">
      <c r="A52" s="4" t="s">
        <v>45</v>
      </c>
    </row>
    <row r="53" customFormat="false" ht="28.5" hidden="false" customHeight="true" outlineLevel="0" collapsed="false">
      <c r="A53" s="4" t="s">
        <v>46</v>
      </c>
    </row>
    <row r="54" customFormat="false" ht="28.5" hidden="false" customHeight="true" outlineLevel="0" collapsed="false">
      <c r="A54" s="4" t="s">
        <v>47</v>
      </c>
    </row>
    <row r="55" customFormat="false" ht="28.5" hidden="false" customHeight="true" outlineLevel="0" collapsed="false">
      <c r="A55" s="4" t="s">
        <v>48</v>
      </c>
    </row>
    <row r="56" customFormat="false" ht="15.75" hidden="false" customHeight="true" outlineLevel="0" collapsed="false">
      <c r="A56" s="4"/>
    </row>
    <row r="57" customFormat="false" ht="19.5" hidden="false" customHeight="true" outlineLevel="0" collapsed="false">
      <c r="A57" s="8" t="s">
        <v>49</v>
      </c>
    </row>
    <row r="58" customFormat="false" ht="15.75" hidden="false" customHeight="true" outlineLevel="0" collapsed="false">
      <c r="A58" s="4" t="s">
        <v>50</v>
      </c>
    </row>
    <row r="59" customFormat="false" ht="42" hidden="false" customHeight="true" outlineLevel="0" collapsed="false">
      <c r="A59" s="4" t="s">
        <v>51</v>
      </c>
    </row>
    <row r="60" customFormat="false" ht="42" hidden="false" customHeight="true" outlineLevel="0" collapsed="false">
      <c r="A60" s="4" t="s">
        <v>52</v>
      </c>
    </row>
    <row r="61" customFormat="false" ht="15.75" hidden="false" customHeight="true" outlineLevel="0" collapsed="false">
      <c r="A61" s="4" t="s">
        <v>53</v>
      </c>
    </row>
    <row r="62" customFormat="false" ht="28.5" hidden="false" customHeight="true" outlineLevel="0" collapsed="false">
      <c r="A62" s="4" t="s">
        <v>54</v>
      </c>
    </row>
    <row r="63" customFormat="false" ht="42" hidden="false" customHeight="true" outlineLevel="0" collapsed="false">
      <c r="A63" s="4" t="s">
        <v>55</v>
      </c>
    </row>
    <row r="64" customFormat="false" ht="42" hidden="false" customHeight="true" outlineLevel="0" collapsed="false">
      <c r="A64" s="4" t="s">
        <v>56</v>
      </c>
    </row>
    <row r="65" customFormat="false" ht="42" hidden="false" customHeight="true" outlineLevel="0" collapsed="false">
      <c r="A65" s="4" t="s">
        <v>57</v>
      </c>
    </row>
    <row r="66" customFormat="false" ht="28.5" hidden="false" customHeight="true" outlineLevel="0" collapsed="false">
      <c r="A66" s="4" t="s">
        <v>58</v>
      </c>
    </row>
    <row r="67" customFormat="false" ht="15.75" hidden="false" customHeight="true" outlineLevel="0" collapsed="false">
      <c r="A67" s="4"/>
    </row>
    <row r="68" customFormat="false" ht="19.5" hidden="false" customHeight="true" outlineLevel="0" collapsed="false">
      <c r="A68" s="8" t="s">
        <v>59</v>
      </c>
    </row>
    <row r="69" customFormat="false" ht="28.5" hidden="false" customHeight="true" outlineLevel="0" collapsed="false">
      <c r="A69" s="4" t="s">
        <v>60</v>
      </c>
    </row>
    <row r="70" customFormat="false" ht="15.75" hidden="false" customHeight="true" outlineLevel="0" collapsed="false">
      <c r="A70" s="4"/>
    </row>
    <row r="71" customFormat="false" ht="19.5" hidden="false" customHeight="true" outlineLevel="0" collapsed="false">
      <c r="A71" s="8" t="s">
        <v>61</v>
      </c>
    </row>
    <row r="72" customFormat="false" ht="28.5" hidden="false" customHeight="true" outlineLevel="0" collapsed="false">
      <c r="A72" s="15" t="s">
        <v>62</v>
      </c>
    </row>
    <row r="73" customFormat="false" ht="28.5" hidden="false" customHeight="true" outlineLevel="0" collapsed="false">
      <c r="A73" s="15" t="s">
        <v>63</v>
      </c>
    </row>
    <row r="74" customFormat="false" ht="28.5" hidden="false" customHeight="true" outlineLevel="0" collapsed="false">
      <c r="A74" s="15" t="s">
        <v>64</v>
      </c>
    </row>
    <row r="75" customFormat="false" ht="28.5" hidden="false" customHeight="true" outlineLevel="0" collapsed="false">
      <c r="A75" s="15" t="s">
        <v>65</v>
      </c>
    </row>
    <row r="76" customFormat="false" ht="15.75" hidden="false" customHeight="true" outlineLevel="0" collapsed="false">
      <c r="A76" s="15" t="s">
        <v>66</v>
      </c>
    </row>
    <row r="77" customFormat="false" ht="28.5" hidden="false" customHeight="true" outlineLevel="0" collapsed="false">
      <c r="A77" s="15" t="s">
        <v>67</v>
      </c>
    </row>
    <row r="78" customFormat="false" ht="28.5" hidden="false" customHeight="true" outlineLevel="0" collapsed="false">
      <c r="A78" s="15" t="s">
        <v>68</v>
      </c>
    </row>
    <row r="79" customFormat="false" ht="28.5" hidden="false" customHeight="true" outlineLevel="0" collapsed="false">
      <c r="A79" s="15" t="s">
        <v>69</v>
      </c>
    </row>
    <row r="80" customFormat="false" ht="28.5" hidden="false" customHeight="true" outlineLevel="0" collapsed="false">
      <c r="A80" s="15" t="s">
        <v>70</v>
      </c>
    </row>
    <row r="81" customFormat="false" ht="28.5" hidden="false" customHeight="true" outlineLevel="0" collapsed="false">
      <c r="A81" s="15" t="s">
        <v>71</v>
      </c>
    </row>
    <row r="82" customFormat="false" ht="28.5" hidden="false" customHeight="true" outlineLevel="0" collapsed="false">
      <c r="A82" s="15" t="s">
        <v>72</v>
      </c>
    </row>
    <row r="83" customFormat="false" ht="28.5" hidden="false" customHeight="true" outlineLevel="0" collapsed="false">
      <c r="A83" s="15" t="s">
        <v>73</v>
      </c>
    </row>
    <row r="84" customFormat="false" ht="15.75" hidden="false" customHeight="true" outlineLevel="0" collapsed="false">
      <c r="A84" s="15" t="s">
        <v>74</v>
      </c>
    </row>
    <row r="85" customFormat="false" ht="28.5" hidden="false" customHeight="true" outlineLevel="0" collapsed="false">
      <c r="A85" s="15" t="s">
        <v>75</v>
      </c>
    </row>
    <row r="86" customFormat="false" ht="28.5" hidden="false" customHeight="true" outlineLevel="0" collapsed="false">
      <c r="A86" s="15" t="s">
        <v>76</v>
      </c>
    </row>
    <row r="87" customFormat="false" ht="15.75" hidden="false" customHeight="true" outlineLevel="0" collapsed="false">
      <c r="A87" s="4"/>
    </row>
    <row r="88" customFormat="false" ht="15.75" hidden="false" customHeight="true" outlineLevel="0" collapsed="false">
      <c r="A88" s="16" t="s">
        <v>77</v>
      </c>
    </row>
  </sheetData>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E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30"/>
    <col collapsed="false" customWidth="true" hidden="false" outlineLevel="0" max="4" min="3" style="1" width="14"/>
    <col collapsed="false" customWidth="true" hidden="false" outlineLevel="0" max="5" min="5" style="1" width="70"/>
  </cols>
  <sheetData>
    <row r="1" customFormat="false" ht="17.25" hidden="false" customHeight="true" outlineLevel="0" collapsed="false">
      <c r="A1" s="17" t="s">
        <v>78</v>
      </c>
    </row>
    <row r="2" customFormat="false" ht="21" hidden="false" customHeight="true" outlineLevel="0" collapsed="false">
      <c r="A2" s="18" t="s">
        <v>79</v>
      </c>
      <c r="B2" s="18"/>
      <c r="C2" s="18"/>
      <c r="D2" s="18"/>
      <c r="E2" s="18"/>
    </row>
    <row r="3" customFormat="false" ht="18" hidden="false" customHeight="true" outlineLevel="0" collapsed="false">
      <c r="A3" s="19" t="s">
        <v>80</v>
      </c>
      <c r="B3" s="20" t="s">
        <v>81</v>
      </c>
    </row>
    <row r="4" customFormat="false" ht="15" hidden="false" customHeight="true" outlineLevel="0" collapsed="false">
      <c r="A4" s="21" t="s">
        <v>82</v>
      </c>
    </row>
    <row r="5" customFormat="false" ht="27.75" hidden="false" customHeight="true" outlineLevel="0" collapsed="false">
      <c r="A5" s="22" t="s">
        <v>83</v>
      </c>
      <c r="B5" s="22" t="s">
        <v>84</v>
      </c>
      <c r="C5" s="22" t="s">
        <v>85</v>
      </c>
      <c r="D5" s="22" t="s">
        <v>86</v>
      </c>
      <c r="E5" s="22" t="s">
        <v>87</v>
      </c>
    </row>
    <row r="6" customFormat="false" ht="15" hidden="false" customHeight="true" outlineLevel="0" collapsed="false">
      <c r="A6" s="23" t="s">
        <v>88</v>
      </c>
      <c r="B6" s="23" t="s">
        <v>89</v>
      </c>
      <c r="C6" s="24" t="n">
        <v>350</v>
      </c>
      <c r="D6" s="25" t="n">
        <v>1</v>
      </c>
      <c r="E6" s="23"/>
    </row>
    <row r="7" customFormat="false" ht="15" hidden="false" customHeight="true" outlineLevel="0" collapsed="false">
      <c r="A7" s="23" t="s">
        <v>90</v>
      </c>
      <c r="B7" s="23" t="s">
        <v>91</v>
      </c>
      <c r="C7" s="24" t="n">
        <v>300</v>
      </c>
      <c r="D7" s="25" t="n">
        <v>1</v>
      </c>
      <c r="E7" s="23"/>
    </row>
    <row r="8" customFormat="false" ht="15" hidden="false" customHeight="true" outlineLevel="0" collapsed="false">
      <c r="A8" s="23" t="s">
        <v>92</v>
      </c>
      <c r="B8" s="23" t="s">
        <v>93</v>
      </c>
      <c r="C8" s="24" t="n">
        <v>300</v>
      </c>
      <c r="D8" s="25" t="n">
        <v>0.8</v>
      </c>
      <c r="E8" s="23" t="s">
        <v>94</v>
      </c>
    </row>
    <row r="9" customFormat="false" ht="15" hidden="false" customHeight="true" outlineLevel="0" collapsed="false">
      <c r="A9" s="23"/>
      <c r="B9" s="23"/>
      <c r="C9" s="24"/>
      <c r="D9" s="25"/>
      <c r="E9" s="23"/>
    </row>
    <row r="10" customFormat="false" ht="15" hidden="false" customHeight="true" outlineLevel="0" collapsed="false">
      <c r="A10" s="23"/>
      <c r="B10" s="23"/>
      <c r="C10" s="24"/>
      <c r="D10" s="25"/>
      <c r="E10" s="23"/>
    </row>
    <row r="11" customFormat="false" ht="15" hidden="false" customHeight="true" outlineLevel="0" collapsed="false">
      <c r="A11" s="23"/>
      <c r="B11" s="23"/>
      <c r="C11" s="24"/>
      <c r="D11" s="25"/>
      <c r="E11" s="23"/>
    </row>
    <row r="12" customFormat="false" ht="15" hidden="false" customHeight="true" outlineLevel="0" collapsed="false">
      <c r="A12" s="23" t="s">
        <v>95</v>
      </c>
      <c r="B12" s="23" t="s">
        <v>96</v>
      </c>
      <c r="C12" s="24"/>
      <c r="D12" s="25"/>
      <c r="E12" s="23" t="s">
        <v>97</v>
      </c>
    </row>
    <row r="13" customFormat="false" ht="25.5" hidden="false" customHeight="true" outlineLevel="0" collapsed="false">
      <c r="A13" s="26" t="s">
        <v>98</v>
      </c>
      <c r="B13" s="26"/>
      <c r="C13" s="26"/>
      <c r="D13" s="26"/>
      <c r="E13" s="26"/>
    </row>
    <row r="15" customFormat="false" ht="15" hidden="false" customHeight="true" outlineLevel="0" collapsed="false">
      <c r="A15" s="21" t="s">
        <v>99</v>
      </c>
    </row>
    <row r="16" customFormat="false" ht="15" hidden="false" customHeight="true" outlineLevel="0" collapsed="false">
      <c r="A16" s="22" t="s">
        <v>100</v>
      </c>
      <c r="B16" s="22" t="s">
        <v>101</v>
      </c>
      <c r="C16" s="22" t="s">
        <v>102</v>
      </c>
      <c r="D16" s="22"/>
      <c r="E16" s="22"/>
    </row>
    <row r="17" customFormat="false" ht="15" hidden="false" customHeight="true" outlineLevel="0" collapsed="false">
      <c r="A17" s="27" t="s">
        <v>103</v>
      </c>
      <c r="B17" s="28" t="n">
        <v>46327</v>
      </c>
      <c r="C17" s="29" t="s">
        <v>104</v>
      </c>
      <c r="D17" s="29"/>
      <c r="E17" s="29"/>
    </row>
    <row r="18" customFormat="false" ht="15" hidden="false" customHeight="true" outlineLevel="0" collapsed="false">
      <c r="A18" s="27" t="s">
        <v>105</v>
      </c>
      <c r="B18" s="28" t="n">
        <v>46402</v>
      </c>
      <c r="C18" s="29" t="s">
        <v>106</v>
      </c>
      <c r="D18" s="29"/>
      <c r="E18" s="29"/>
    </row>
    <row r="19" customFormat="false" ht="27" hidden="false" customHeight="true" outlineLevel="0" collapsed="false">
      <c r="A19" s="27" t="s">
        <v>107</v>
      </c>
      <c r="B19" s="28" t="n">
        <v>46461</v>
      </c>
      <c r="C19" s="29" t="s">
        <v>108</v>
      </c>
      <c r="D19" s="29"/>
      <c r="E19" s="29"/>
    </row>
    <row r="20" customFormat="false" ht="15" hidden="false" customHeight="true" outlineLevel="0" collapsed="false">
      <c r="A20" s="27" t="s">
        <v>109</v>
      </c>
      <c r="B20" s="28" t="n">
        <v>46493</v>
      </c>
      <c r="C20" s="29" t="s">
        <v>110</v>
      </c>
      <c r="D20" s="29"/>
      <c r="E20" s="29"/>
    </row>
    <row r="21" customFormat="false" ht="15" hidden="false" customHeight="true" outlineLevel="0" collapsed="false">
      <c r="A21" s="27" t="s">
        <v>111</v>
      </c>
      <c r="B21" s="28" t="n">
        <v>46552</v>
      </c>
      <c r="C21" s="29" t="s">
        <v>112</v>
      </c>
      <c r="D21" s="29"/>
      <c r="E21" s="29"/>
    </row>
    <row r="22" customFormat="false" ht="15" hidden="false" customHeight="true" outlineLevel="0" collapsed="false">
      <c r="A22" s="27" t="s">
        <v>113</v>
      </c>
      <c r="B22" s="28" t="n">
        <v>46674</v>
      </c>
      <c r="C22" s="29" t="s">
        <v>114</v>
      </c>
      <c r="D22" s="29"/>
      <c r="E22" s="29"/>
    </row>
    <row r="24" customFormat="false" ht="15" hidden="false" customHeight="true" outlineLevel="0" collapsed="false">
      <c r="A24" s="21" t="s">
        <v>115</v>
      </c>
    </row>
    <row r="25" customFormat="false" ht="15" hidden="false" customHeight="true" outlineLevel="0" collapsed="false">
      <c r="A25" s="22" t="s">
        <v>116</v>
      </c>
      <c r="B25" s="22" t="s">
        <v>117</v>
      </c>
      <c r="C25" s="22" t="s">
        <v>102</v>
      </c>
      <c r="D25" s="22"/>
      <c r="E25" s="22"/>
    </row>
    <row r="26" customFormat="false" ht="27" hidden="false" customHeight="true" outlineLevel="0" collapsed="false">
      <c r="A26" s="27" t="s">
        <v>118</v>
      </c>
      <c r="B26" s="30" t="n">
        <v>0.15</v>
      </c>
      <c r="C26" s="29" t="s">
        <v>119</v>
      </c>
      <c r="D26" s="29"/>
      <c r="E26" s="29"/>
    </row>
    <row r="27" customFormat="false" ht="27" hidden="false" customHeight="true" outlineLevel="0" collapsed="false">
      <c r="A27" s="27" t="s">
        <v>120</v>
      </c>
      <c r="B27" s="30" t="n">
        <v>0.1</v>
      </c>
      <c r="C27" s="29" t="s">
        <v>121</v>
      </c>
      <c r="D27" s="29"/>
      <c r="E27" s="29"/>
    </row>
    <row r="28" customFormat="false" ht="25.5" hidden="false" customHeight="true" outlineLevel="0" collapsed="false">
      <c r="A28" s="27" t="s">
        <v>122</v>
      </c>
      <c r="B28" s="31" t="n">
        <v>11</v>
      </c>
      <c r="C28" s="29" t="s">
        <v>123</v>
      </c>
      <c r="D28" s="29"/>
      <c r="E28" s="29"/>
    </row>
    <row r="29" customFormat="false" ht="15" hidden="false" customHeight="true" outlineLevel="0" collapsed="false">
      <c r="A29" s="27" t="s">
        <v>124</v>
      </c>
      <c r="B29" s="31" t="n">
        <v>3</v>
      </c>
      <c r="C29" s="29" t="s">
        <v>125</v>
      </c>
      <c r="D29" s="29"/>
      <c r="E29" s="29"/>
    </row>
    <row r="30" customFormat="false" ht="15" hidden="false" customHeight="true" outlineLevel="0" collapsed="false">
      <c r="A30" s="27" t="s">
        <v>126</v>
      </c>
      <c r="B30" s="31" t="n">
        <v>7</v>
      </c>
      <c r="C30" s="29" t="s">
        <v>127</v>
      </c>
      <c r="D30" s="29"/>
      <c r="E30" s="29"/>
    </row>
    <row r="32" customFormat="false" ht="15" hidden="false" customHeight="true" outlineLevel="0" collapsed="false">
      <c r="A32" s="21" t="s">
        <v>128</v>
      </c>
    </row>
    <row r="33" customFormat="false" ht="23.25" hidden="false" customHeight="true" outlineLevel="0" collapsed="false">
      <c r="A33" s="22" t="s">
        <v>129</v>
      </c>
      <c r="B33" s="22" t="s">
        <v>130</v>
      </c>
      <c r="C33" s="22" t="s">
        <v>131</v>
      </c>
      <c r="D33" s="22" t="s">
        <v>132</v>
      </c>
      <c r="E33" s="22"/>
    </row>
    <row r="34" customFormat="false" ht="15" hidden="false" customHeight="true" outlineLevel="0" collapsed="false">
      <c r="A34" s="32" t="s">
        <v>133</v>
      </c>
      <c r="B34" s="23" t="s">
        <v>134</v>
      </c>
      <c r="C34" s="23" t="s">
        <v>135</v>
      </c>
      <c r="D34" s="33" t="s">
        <v>136</v>
      </c>
      <c r="E34" s="33"/>
    </row>
    <row r="35" customFormat="false" ht="15" hidden="false" customHeight="true" outlineLevel="0" collapsed="false">
      <c r="A35" s="32" t="s">
        <v>137</v>
      </c>
      <c r="B35" s="23" t="s">
        <v>107</v>
      </c>
      <c r="C35" s="23" t="s">
        <v>138</v>
      </c>
      <c r="D35" s="33" t="s">
        <v>139</v>
      </c>
      <c r="E35" s="33"/>
    </row>
    <row r="36" customFormat="false" ht="15" hidden="false" customHeight="true" outlineLevel="0" collapsed="false">
      <c r="A36" s="32" t="s">
        <v>140</v>
      </c>
      <c r="B36" s="23" t="s">
        <v>141</v>
      </c>
      <c r="C36" s="23" t="s">
        <v>135</v>
      </c>
      <c r="D36" s="33" t="s">
        <v>142</v>
      </c>
      <c r="E36" s="33"/>
    </row>
    <row r="37" customFormat="false" ht="15" hidden="false" customHeight="true" outlineLevel="0" collapsed="false">
      <c r="A37" s="32" t="s">
        <v>143</v>
      </c>
      <c r="B37" s="23" t="s">
        <v>144</v>
      </c>
      <c r="C37" s="23" t="s">
        <v>135</v>
      </c>
      <c r="D37" s="33" t="s">
        <v>145</v>
      </c>
      <c r="E37" s="33"/>
    </row>
    <row r="38" customFormat="false" ht="15" hidden="false" customHeight="true" outlineLevel="0" collapsed="false">
      <c r="A38" s="32" t="s">
        <v>146</v>
      </c>
      <c r="B38" s="23" t="s">
        <v>147</v>
      </c>
      <c r="C38" s="23" t="s">
        <v>135</v>
      </c>
      <c r="D38" s="33" t="s">
        <v>148</v>
      </c>
      <c r="E38" s="33"/>
    </row>
    <row r="39" customFormat="false" ht="15" hidden="false" customHeight="true" outlineLevel="0" collapsed="false">
      <c r="A39" s="32" t="s">
        <v>149</v>
      </c>
      <c r="B39" s="23" t="s">
        <v>138</v>
      </c>
      <c r="C39" s="23" t="s">
        <v>138</v>
      </c>
      <c r="D39" s="33" t="s">
        <v>150</v>
      </c>
      <c r="E39" s="33"/>
    </row>
    <row r="40" customFormat="false" ht="15" hidden="false" customHeight="true" outlineLevel="0" collapsed="false">
      <c r="A40" s="32" t="s">
        <v>151</v>
      </c>
      <c r="B40" s="23"/>
      <c r="C40" s="23"/>
      <c r="D40" s="33"/>
      <c r="E40" s="33"/>
    </row>
    <row r="41" customFormat="false" ht="15" hidden="false" customHeight="true" outlineLevel="0" collapsed="false">
      <c r="A41" s="32" t="s">
        <v>152</v>
      </c>
      <c r="B41" s="23"/>
      <c r="C41" s="23"/>
      <c r="D41" s="33"/>
      <c r="E41" s="33"/>
    </row>
    <row r="42" customFormat="false" ht="15" hidden="false" customHeight="true" outlineLevel="0" collapsed="false">
      <c r="A42" s="34" t="s">
        <v>153</v>
      </c>
    </row>
    <row r="43" customFormat="false" ht="15" hidden="false" customHeight="true" outlineLevel="0" collapsed="false">
      <c r="A43" s="34" t="s">
        <v>154</v>
      </c>
    </row>
    <row r="45" customFormat="false" ht="15" hidden="false" customHeight="true" outlineLevel="0" collapsed="false">
      <c r="A45" s="21" t="s">
        <v>155</v>
      </c>
    </row>
    <row r="46" customFormat="false" ht="15" hidden="false" customHeight="true" outlineLevel="0" collapsed="false">
      <c r="A46" s="22" t="s">
        <v>101</v>
      </c>
      <c r="B46" s="22" t="s">
        <v>156</v>
      </c>
    </row>
    <row r="47" customFormat="false" ht="15" hidden="false" customHeight="true" outlineLevel="0" collapsed="false">
      <c r="A47" s="35" t="n">
        <v>46327</v>
      </c>
      <c r="B47" s="23" t="s">
        <v>157</v>
      </c>
      <c r="C47" s="26" t="s">
        <v>158</v>
      </c>
      <c r="D47" s="26"/>
      <c r="E47" s="26"/>
    </row>
    <row r="48" customFormat="false" ht="15" hidden="false" customHeight="true" outlineLevel="0" collapsed="false">
      <c r="A48" s="35" t="n">
        <v>46337</v>
      </c>
      <c r="B48" s="23" t="s">
        <v>159</v>
      </c>
      <c r="C48" s="26"/>
      <c r="D48" s="26"/>
      <c r="E48" s="26"/>
    </row>
    <row r="49" customFormat="false" ht="15" hidden="false" customHeight="true" outlineLevel="0" collapsed="false">
      <c r="A49" s="35" t="n">
        <v>46381</v>
      </c>
      <c r="B49" s="23" t="s">
        <v>160</v>
      </c>
      <c r="C49" s="26"/>
      <c r="D49" s="26"/>
      <c r="E49" s="26"/>
    </row>
    <row r="50" customFormat="false" ht="15" hidden="false" customHeight="true" outlineLevel="0" collapsed="false">
      <c r="A50" s="35" t="n">
        <v>46384</v>
      </c>
      <c r="B50" s="23" t="s">
        <v>161</v>
      </c>
    </row>
    <row r="51" customFormat="false" ht="15" hidden="false" customHeight="true" outlineLevel="0" collapsed="false">
      <c r="A51" s="35" t="n">
        <v>46385</v>
      </c>
      <c r="B51" s="23" t="s">
        <v>161</v>
      </c>
    </row>
    <row r="52" customFormat="false" ht="15" hidden="false" customHeight="true" outlineLevel="0" collapsed="false">
      <c r="A52" s="35" t="n">
        <v>46386</v>
      </c>
      <c r="B52" s="23" t="s">
        <v>161</v>
      </c>
    </row>
    <row r="53" customFormat="false" ht="15" hidden="false" customHeight="true" outlineLevel="0" collapsed="false">
      <c r="A53" s="35" t="n">
        <v>46387</v>
      </c>
      <c r="B53" s="23" t="s">
        <v>161</v>
      </c>
    </row>
    <row r="54" customFormat="false" ht="15" hidden="false" customHeight="true" outlineLevel="0" collapsed="false">
      <c r="A54" s="35" t="n">
        <v>46388</v>
      </c>
      <c r="B54" s="23" t="s">
        <v>162</v>
      </c>
    </row>
    <row r="55" customFormat="false" ht="15" hidden="false" customHeight="true" outlineLevel="0" collapsed="false">
      <c r="A55" s="35" t="n">
        <v>46475</v>
      </c>
      <c r="B55" s="23" t="s">
        <v>163</v>
      </c>
    </row>
    <row r="56" customFormat="false" ht="15" hidden="false" customHeight="true" outlineLevel="0" collapsed="false">
      <c r="A56" s="35" t="n">
        <v>46508</v>
      </c>
      <c r="B56" s="23" t="s">
        <v>164</v>
      </c>
    </row>
    <row r="57" customFormat="false" ht="15" hidden="false" customHeight="true" outlineLevel="0" collapsed="false">
      <c r="A57" s="35" t="n">
        <v>46513</v>
      </c>
      <c r="B57" s="23" t="s">
        <v>165</v>
      </c>
    </row>
    <row r="58" customFormat="false" ht="15" hidden="false" customHeight="true" outlineLevel="0" collapsed="false">
      <c r="A58" s="35" t="n">
        <v>46515</v>
      </c>
      <c r="B58" s="23" t="s">
        <v>166</v>
      </c>
    </row>
    <row r="59" customFormat="false" ht="15" hidden="false" customHeight="true" outlineLevel="0" collapsed="false">
      <c r="A59" s="35" t="n">
        <v>46524</v>
      </c>
      <c r="B59" s="23" t="s">
        <v>167</v>
      </c>
    </row>
    <row r="60" customFormat="false" ht="15" hidden="false" customHeight="true" outlineLevel="0" collapsed="false">
      <c r="A60" s="35" t="n">
        <v>46582</v>
      </c>
      <c r="B60" s="23" t="s">
        <v>168</v>
      </c>
    </row>
    <row r="61" customFormat="false" ht="15" hidden="false" customHeight="true" outlineLevel="0" collapsed="false">
      <c r="A61" s="35" t="n">
        <v>46608</v>
      </c>
      <c r="B61" s="23" t="s">
        <v>169</v>
      </c>
    </row>
    <row r="62" customFormat="false" ht="15" hidden="false" customHeight="true" outlineLevel="0" collapsed="false">
      <c r="A62" s="35" t="n">
        <v>46609</v>
      </c>
      <c r="B62" s="23" t="s">
        <v>169</v>
      </c>
    </row>
    <row r="63" customFormat="false" ht="15" hidden="false" customHeight="true" outlineLevel="0" collapsed="false">
      <c r="A63" s="35" t="n">
        <v>46610</v>
      </c>
      <c r="B63" s="23" t="s">
        <v>169</v>
      </c>
    </row>
    <row r="64" customFormat="false" ht="15" hidden="false" customHeight="true" outlineLevel="0" collapsed="false">
      <c r="A64" s="35" t="n">
        <v>46611</v>
      </c>
      <c r="B64" s="23" t="s">
        <v>169</v>
      </c>
    </row>
    <row r="65" customFormat="false" ht="15" hidden="false" customHeight="true" outlineLevel="0" collapsed="false">
      <c r="A65" s="35" t="n">
        <v>46612</v>
      </c>
      <c r="B65" s="23" t="s">
        <v>169</v>
      </c>
    </row>
    <row r="66" customFormat="false" ht="15" hidden="false" customHeight="true" outlineLevel="0" collapsed="false">
      <c r="A66" s="35" t="n">
        <v>46614</v>
      </c>
      <c r="B66" s="23" t="s">
        <v>170</v>
      </c>
    </row>
    <row r="67" customFormat="false" ht="15" hidden="false" customHeight="true" outlineLevel="0" collapsed="false">
      <c r="A67" s="35" t="n">
        <v>46615</v>
      </c>
      <c r="B67" s="23" t="s">
        <v>169</v>
      </c>
    </row>
    <row r="68" customFormat="false" ht="15" hidden="false" customHeight="true" outlineLevel="0" collapsed="false">
      <c r="A68" s="35" t="n">
        <v>46616</v>
      </c>
      <c r="B68" s="23" t="s">
        <v>169</v>
      </c>
    </row>
    <row r="69" customFormat="false" ht="15" hidden="false" customHeight="true" outlineLevel="0" collapsed="false">
      <c r="A69" s="35" t="n">
        <v>46617</v>
      </c>
      <c r="B69" s="23" t="s">
        <v>169</v>
      </c>
    </row>
    <row r="70" customFormat="false" ht="15" hidden="false" customHeight="true" outlineLevel="0" collapsed="false">
      <c r="A70" s="35" t="n">
        <v>46618</v>
      </c>
      <c r="B70" s="23" t="s">
        <v>169</v>
      </c>
    </row>
    <row r="71" customFormat="false" ht="15" hidden="false" customHeight="true" outlineLevel="0" collapsed="false">
      <c r="A71" s="35" t="n">
        <v>46619</v>
      </c>
      <c r="B71" s="23" t="s">
        <v>169</v>
      </c>
    </row>
    <row r="72" customFormat="false" ht="15" hidden="false" customHeight="true" outlineLevel="0" collapsed="false">
      <c r="A72" s="35" t="n">
        <v>46692</v>
      </c>
      <c r="B72" s="23" t="s">
        <v>157</v>
      </c>
    </row>
    <row r="73" customFormat="false" ht="15" hidden="false" customHeight="true" outlineLevel="0" collapsed="false">
      <c r="A73" s="35" t="n">
        <v>46702</v>
      </c>
      <c r="B73" s="23" t="s">
        <v>159</v>
      </c>
    </row>
    <row r="74" customFormat="false" ht="15" hidden="false" customHeight="true" outlineLevel="0" collapsed="false">
      <c r="A74" s="35" t="n">
        <v>46746</v>
      </c>
      <c r="B74" s="23" t="s">
        <v>160</v>
      </c>
    </row>
    <row r="75" customFormat="false" ht="15" hidden="false" customHeight="true" outlineLevel="0" collapsed="false">
      <c r="A75" s="35"/>
      <c r="B75" s="23"/>
    </row>
    <row r="76" customFormat="false" ht="15" hidden="false" customHeight="true" outlineLevel="0" collapsed="false">
      <c r="A76" s="35"/>
      <c r="B76" s="23"/>
    </row>
    <row r="77" customFormat="false" ht="15" hidden="false" customHeight="true" outlineLevel="0" collapsed="false">
      <c r="A77" s="35"/>
      <c r="B77" s="23"/>
    </row>
    <row r="78" customFormat="false" ht="15" hidden="false" customHeight="true" outlineLevel="0" collapsed="false">
      <c r="A78" s="35"/>
      <c r="B78" s="23"/>
    </row>
    <row r="79" customFormat="false" ht="15" hidden="false" customHeight="true" outlineLevel="0" collapsed="false">
      <c r="A79" s="35"/>
      <c r="B79" s="23"/>
    </row>
    <row r="80" customFormat="false" ht="15" hidden="false" customHeight="true" outlineLevel="0" collapsed="false">
      <c r="A80" s="35"/>
      <c r="B80" s="23"/>
    </row>
    <row r="81" customFormat="false" ht="15" hidden="false" customHeight="true" outlineLevel="0" collapsed="false">
      <c r="A81" s="35"/>
      <c r="B81" s="23"/>
    </row>
    <row r="82" customFormat="false" ht="15" hidden="false" customHeight="true" outlineLevel="0" collapsed="false">
      <c r="A82" s="35"/>
      <c r="B82" s="23"/>
    </row>
    <row r="83" customFormat="false" ht="15" hidden="false" customHeight="true" outlineLevel="0" collapsed="false">
      <c r="A83" s="35"/>
      <c r="B83" s="23"/>
    </row>
    <row r="84" customFormat="false" ht="15" hidden="false" customHeight="true" outlineLevel="0" collapsed="false">
      <c r="A84" s="35"/>
      <c r="B84" s="23"/>
    </row>
    <row r="85" customFormat="false" ht="15" hidden="false" customHeight="true" outlineLevel="0" collapsed="false">
      <c r="A85" s="35"/>
      <c r="B85" s="23"/>
    </row>
    <row r="86" customFormat="false" ht="15" hidden="false" customHeight="true" outlineLevel="0" collapsed="false">
      <c r="A86" s="35"/>
      <c r="B86" s="23"/>
    </row>
    <row r="87" customFormat="false" ht="15" hidden="false" customHeight="true" outlineLevel="0" collapsed="false">
      <c r="A87" s="35"/>
      <c r="B87" s="23"/>
    </row>
    <row r="88" customFormat="false" ht="15" hidden="false" customHeight="true" outlineLevel="0" collapsed="false">
      <c r="A88" s="35"/>
      <c r="B88" s="23"/>
    </row>
    <row r="89" customFormat="false" ht="15" hidden="false" customHeight="true" outlineLevel="0" collapsed="false">
      <c r="A89" s="35"/>
      <c r="B89" s="23"/>
    </row>
    <row r="90" customFormat="false" ht="15" hidden="false" customHeight="true" outlineLevel="0" collapsed="false">
      <c r="A90" s="35"/>
      <c r="B90" s="23"/>
    </row>
    <row r="91" customFormat="false" ht="15" hidden="false" customHeight="true" outlineLevel="0" collapsed="false">
      <c r="A91" s="35"/>
      <c r="B91" s="23"/>
    </row>
  </sheetData>
  <mergeCells count="24">
    <mergeCell ref="A13:E13"/>
    <mergeCell ref="C16:E16"/>
    <mergeCell ref="C17:E17"/>
    <mergeCell ref="C18:E18"/>
    <mergeCell ref="C19:E19"/>
    <mergeCell ref="C20:E20"/>
    <mergeCell ref="C21:E21"/>
    <mergeCell ref="C22:E22"/>
    <mergeCell ref="C25:E25"/>
    <mergeCell ref="C26:E26"/>
    <mergeCell ref="C27:E27"/>
    <mergeCell ref="C28:E28"/>
    <mergeCell ref="C29:E29"/>
    <mergeCell ref="C30:E30"/>
    <mergeCell ref="D33:E33"/>
    <mergeCell ref="D34:E34"/>
    <mergeCell ref="D35:E35"/>
    <mergeCell ref="D36:E36"/>
    <mergeCell ref="D37:E37"/>
    <mergeCell ref="D38:E38"/>
    <mergeCell ref="D39:E39"/>
    <mergeCell ref="D40:E40"/>
    <mergeCell ref="D41:E41"/>
    <mergeCell ref="C47:E49"/>
  </mergeCells>
  <dataValidations count="4">
    <dataValidation allowBlank="true" error="Availability between 0% and 100%." errorStyle="stop" operator="between" showDropDown="false" showErrorMessage="true" showInputMessage="false" sqref="D6:D12" type="decimal">
      <formula1>0</formula1>
      <formula2>1</formula2>
    </dataValidation>
    <dataValidation allowBlank="true" errorStyle="stop" operator="greaterThanOrEqual" showDropDown="false" showErrorMessage="false" showInputMessage="false" sqref="C6:C12" type="decimal">
      <formula1>0</formula1>
      <formula2>0</formula2>
    </dataValidation>
    <dataValidation allowBlank="true" errorStyle="stop" operator="between" showDropDown="false" showErrorMessage="false" showInputMessage="false" sqref="C34:C41" type="list">
      <formula1>"Game,Marketing"</formula1>
      <formula2>0</formula2>
    </dataValidation>
    <dataValidation allowBlank="true" errorStyle="stop" operator="greaterThan" showDropDown="false" showErrorMessage="false" showInputMessage="false" sqref="B17:B22 A47:A91" type="date">
      <formula1>1</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S9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1"/>
  <cols>
    <col collapsed="false" customWidth="true" hidden="false" outlineLevel="0" max="1" min="1" style="1" width="7"/>
    <col collapsed="false" customWidth="true" hidden="false" outlineLevel="0" max="2" min="2" style="1" width="17"/>
    <col collapsed="false" customWidth="true" hidden="false" outlineLevel="0" max="3" min="3" style="1" width="42"/>
    <col collapsed="false" customWidth="true" hidden="false" outlineLevel="0" max="4" min="4" style="1" width="13"/>
    <col collapsed="false" customWidth="true" hidden="false" outlineLevel="0" max="5" min="5" style="1" width="12"/>
    <col collapsed="false" customWidth="true" hidden="false" outlineLevel="0" max="6" min="6" style="1" width="8"/>
    <col collapsed="false" customWidth="true" hidden="false" outlineLevel="0" max="7" min="7" style="1" width="10"/>
    <col collapsed="false" customWidth="true" hidden="false" outlineLevel="0" max="8" min="8" style="1" width="12"/>
    <col collapsed="false" customWidth="true" hidden="true" outlineLevel="1" max="10" min="9" style="1" width="11"/>
    <col collapsed="false" customWidth="true" hidden="true" outlineLevel="1" max="12" min="11" style="1" width="12"/>
    <col collapsed="false" customWidth="true" hidden="true" outlineLevel="1" max="13" min="13" style="1" width="10"/>
    <col collapsed="false" customWidth="true" hidden="true" outlineLevel="1" max="15" min="14" style="1" width="11"/>
    <col collapsed="false" customWidth="true" hidden="true" outlineLevel="1" max="16" min="16" style="1" width="12"/>
    <col collapsed="false" customWidth="true" hidden="true" outlineLevel="1" max="17" min="17" style="1" width="10"/>
    <col collapsed="false" customWidth="true" hidden="true" outlineLevel="1" max="18" min="18" style="1" width="12"/>
    <col collapsed="false" customWidth="true" hidden="false" outlineLevel="0" max="19" min="19" style="1" width="52"/>
  </cols>
  <sheetData>
    <row r="1" customFormat="false" ht="17.25" hidden="false" customHeight="true" outlineLevel="0" collapsed="false">
      <c r="A1" s="17" t="s">
        <v>171</v>
      </c>
    </row>
    <row r="2" customFormat="false" ht="21" hidden="false" customHeight="true" outlineLevel="0" collapsed="false">
      <c r="A2" s="18" t="s">
        <v>172</v>
      </c>
      <c r="B2" s="18"/>
      <c r="C2" s="18"/>
      <c r="D2" s="18"/>
      <c r="E2" s="18"/>
      <c r="F2" s="18"/>
      <c r="G2" s="18"/>
      <c r="H2" s="18"/>
      <c r="I2" s="18"/>
      <c r="J2" s="18"/>
      <c r="K2" s="18"/>
      <c r="L2" s="18"/>
      <c r="M2" s="18"/>
      <c r="N2" s="18"/>
      <c r="O2" s="18"/>
      <c r="P2" s="18"/>
      <c r="Q2" s="18"/>
      <c r="R2" s="18"/>
      <c r="S2" s="18"/>
    </row>
    <row r="3" customFormat="false" ht="15" hidden="false" customHeight="true" outlineLevel="0" collapsed="false">
      <c r="A3" s="36" t="s">
        <v>173</v>
      </c>
    </row>
    <row r="4" customFormat="false" ht="18" hidden="false" customHeight="true" outlineLevel="0" collapsed="false">
      <c r="B4" s="19" t="s">
        <v>80</v>
      </c>
      <c r="C4" s="20" t="s">
        <v>174</v>
      </c>
      <c r="D4" s="37" t="s">
        <v>175</v>
      </c>
      <c r="E4" s="38" t="s">
        <v>176</v>
      </c>
      <c r="I4" s="39" t="s">
        <v>177</v>
      </c>
    </row>
    <row r="5" customFormat="false" ht="43.5" hidden="false" customHeight="true" outlineLevel="0" collapsed="false">
      <c r="A5" s="22" t="s">
        <v>178</v>
      </c>
      <c r="B5" s="22" t="s">
        <v>130</v>
      </c>
      <c r="C5" s="22" t="s">
        <v>179</v>
      </c>
      <c r="D5" s="22" t="s">
        <v>83</v>
      </c>
      <c r="E5" s="22" t="s">
        <v>180</v>
      </c>
      <c r="F5" s="22" t="s">
        <v>181</v>
      </c>
      <c r="G5" s="22" t="s">
        <v>182</v>
      </c>
      <c r="H5" s="22" t="s">
        <v>183</v>
      </c>
      <c r="I5" s="40" t="s">
        <v>184</v>
      </c>
      <c r="J5" s="40" t="s">
        <v>185</v>
      </c>
      <c r="K5" s="40" t="s">
        <v>186</v>
      </c>
      <c r="L5" s="40" t="s">
        <v>187</v>
      </c>
      <c r="M5" s="40" t="s">
        <v>188</v>
      </c>
      <c r="N5" s="40" t="s">
        <v>189</v>
      </c>
      <c r="O5" s="40" t="s">
        <v>190</v>
      </c>
      <c r="P5" s="40" t="s">
        <v>191</v>
      </c>
      <c r="Q5" s="40" t="s">
        <v>192</v>
      </c>
      <c r="R5" s="40" t="s">
        <v>193</v>
      </c>
      <c r="S5" s="22" t="s">
        <v>194</v>
      </c>
    </row>
    <row r="6" customFormat="false" ht="15" hidden="false" customHeight="true" outlineLevel="0" collapsed="false">
      <c r="A6" s="41" t="s">
        <v>195</v>
      </c>
      <c r="B6" s="42" t="str">
        <f aca="false">IF(A6="","",IFERROR(INDEX(Lot_nom,MATCH(LEFT(A6,FIND(".",A6&amp;".")-1)&amp;"",Lot_num,0)),"Unknown phase"))</f>
        <v>Prototype</v>
      </c>
      <c r="C6" s="23" t="s">
        <v>196</v>
      </c>
      <c r="D6" s="23" t="s">
        <v>88</v>
      </c>
      <c r="E6" s="43" t="n">
        <v>20</v>
      </c>
      <c r="F6" s="44" t="n">
        <v>1</v>
      </c>
      <c r="G6" s="45" t="n">
        <f aca="false">IF(C6="","",IF(K6="",0,K6*IF(F6="",1,F6)))</f>
        <v>20</v>
      </c>
      <c r="H6" s="46" t="n">
        <f aca="false">IF(C6="","",N(G6)*IFERROR(INDEX(Taux,MATCH(D6,Equipe,0)),0)+N(L6))</f>
        <v>7000</v>
      </c>
      <c r="I6" s="43"/>
      <c r="J6" s="43"/>
      <c r="K6" s="47" t="n">
        <f aca="false">IF(E6="","",IF(AND(I6&lt;&gt;"",J6&lt;&gt;""),ROUND((I6+4*E6+J6)/6,1),E6))</f>
        <v>20</v>
      </c>
      <c r="L6" s="24"/>
      <c r="M6" s="48" t="s">
        <v>197</v>
      </c>
      <c r="N6" s="49" t="n">
        <v>2</v>
      </c>
      <c r="O6" s="49" t="n">
        <v>20</v>
      </c>
      <c r="P6" s="47" t="n">
        <f aca="false">IF(OR(C6="",N(G6)=0),"",IF(O6="",MAX(G6,N(N6)),N(N6)+O6))</f>
        <v>22</v>
      </c>
      <c r="Q6" s="50" t="n">
        <f aca="false">IF(P6="","",P6-G6)</f>
        <v>2</v>
      </c>
      <c r="R6" s="46" t="n">
        <f aca="false">IF(C6="","",N(P6)*IFERROR(INDEX(Taux,MATCH(D6,Equipe,0)),0)+N(L6))</f>
        <v>7700</v>
      </c>
      <c r="S6" s="23" t="s">
        <v>198</v>
      </c>
    </row>
    <row r="7" customFormat="false" ht="15" hidden="false" customHeight="true" outlineLevel="0" collapsed="false">
      <c r="A7" s="41" t="s">
        <v>199</v>
      </c>
      <c r="B7" s="42" t="str">
        <f aca="false">IF(A7="","",IFERROR(INDEX(Lot_nom,MATCH(LEFT(A7,FIND(".",A7&amp;".")-1)&amp;"",Lot_num,0)),"Unknown phase"))</f>
        <v>Prototype</v>
      </c>
      <c r="C7" s="23" t="s">
        <v>200</v>
      </c>
      <c r="D7" s="23" t="s">
        <v>88</v>
      </c>
      <c r="E7" s="43" t="n">
        <v>10</v>
      </c>
      <c r="F7" s="44" t="n">
        <v>1</v>
      </c>
      <c r="G7" s="45" t="n">
        <f aca="false">IF(C7="","",IF(K7="",0,K7*IF(F7="",1,F7)))</f>
        <v>11.3</v>
      </c>
      <c r="H7" s="46" t="n">
        <f aca="false">IF(C7="","",N(G7)*IFERROR(INDEX(Taux,MATCH(D7,Equipe,0)),0)+N(L7))</f>
        <v>3955</v>
      </c>
      <c r="I7" s="43" t="n">
        <v>6</v>
      </c>
      <c r="J7" s="43" t="n">
        <v>22</v>
      </c>
      <c r="K7" s="47" t="n">
        <f aca="false">IF(E7="","",IF(AND(I7&lt;&gt;"",J7&lt;&gt;""),ROUND((I7+4*E7+J7)/6,1),E7))</f>
        <v>11.3</v>
      </c>
      <c r="L7" s="24"/>
      <c r="M7" s="48" t="s">
        <v>197</v>
      </c>
      <c r="N7" s="49"/>
      <c r="O7" s="49"/>
      <c r="P7" s="47" t="n">
        <f aca="false">IF(OR(C7="",N(G7)=0),"",IF(O7="",MAX(G7,N(N7)),N(N7)+O7))</f>
        <v>11.3</v>
      </c>
      <c r="Q7" s="50" t="n">
        <f aca="false">IF(P7="","",P7-G7)</f>
        <v>0</v>
      </c>
      <c r="R7" s="46" t="n">
        <f aca="false">IF(C7="","",N(P7)*IFERROR(INDEX(Taux,MATCH(D7,Equipe,0)),0)+N(L7))</f>
        <v>3955</v>
      </c>
      <c r="S7" s="23" t="s">
        <v>201</v>
      </c>
    </row>
    <row r="8" customFormat="false" ht="15" hidden="false" customHeight="true" outlineLevel="0" collapsed="false">
      <c r="A8" s="41" t="s">
        <v>202</v>
      </c>
      <c r="B8" s="42" t="str">
        <f aca="false">IF(A8="","",IFERROR(INDEX(Lot_nom,MATCH(LEFT(A8,FIND(".",A8&amp;".")-1)&amp;"",Lot_num,0)),"Unknown phase"))</f>
        <v>Prototype</v>
      </c>
      <c r="C8" s="23" t="s">
        <v>203</v>
      </c>
      <c r="D8" s="23" t="s">
        <v>88</v>
      </c>
      <c r="E8" s="43" t="n">
        <v>5</v>
      </c>
      <c r="F8" s="44" t="n">
        <v>1</v>
      </c>
      <c r="G8" s="45" t="n">
        <f aca="false">IF(C8="","",IF(K8="",0,K8*IF(F8="",1,F8)))</f>
        <v>5</v>
      </c>
      <c r="H8" s="46" t="n">
        <f aca="false">IF(C8="","",N(G8)*IFERROR(INDEX(Taux,MATCH(D8,Equipe,0)),0)+N(L8))</f>
        <v>1750</v>
      </c>
      <c r="I8" s="43"/>
      <c r="J8" s="43"/>
      <c r="K8" s="47" t="n">
        <f aca="false">IF(E8="","",IF(AND(I8&lt;&gt;"",J8&lt;&gt;""),ROUND((I8+4*E8+J8)/6,1),E8))</f>
        <v>5</v>
      </c>
      <c r="L8" s="24"/>
      <c r="M8" s="48" t="s">
        <v>197</v>
      </c>
      <c r="N8" s="49"/>
      <c r="O8" s="49"/>
      <c r="P8" s="47" t="n">
        <f aca="false">IF(OR(C8="",N(G8)=0),"",IF(O8="",MAX(G8,N(N8)),N(N8)+O8))</f>
        <v>5</v>
      </c>
      <c r="Q8" s="50" t="n">
        <f aca="false">IF(P8="","",P8-G8)</f>
        <v>0</v>
      </c>
      <c r="R8" s="46" t="n">
        <f aca="false">IF(C8="","",N(P8)*IFERROR(INDEX(Taux,MATCH(D8,Equipe,0)),0)+N(L8))</f>
        <v>1750</v>
      </c>
      <c r="S8" s="23"/>
    </row>
    <row r="9" customFormat="false" ht="15" hidden="false" customHeight="true" outlineLevel="0" collapsed="false">
      <c r="A9" s="41" t="s">
        <v>204</v>
      </c>
      <c r="B9" s="42" t="str">
        <f aca="false">IF(A9="","",IFERROR(INDEX(Lot_nom,MATCH(LEFT(A9,FIND(".",A9&amp;".")-1)&amp;"",Lot_num,0)),"Unknown phase"))</f>
        <v>Prototype</v>
      </c>
      <c r="C9" s="23" t="s">
        <v>205</v>
      </c>
      <c r="D9" s="23" t="s">
        <v>90</v>
      </c>
      <c r="E9" s="43" t="n">
        <v>14</v>
      </c>
      <c r="F9" s="44" t="n">
        <v>1</v>
      </c>
      <c r="G9" s="45" t="n">
        <f aca="false">IF(C9="","",IF(K9="",0,K9*IF(F9="",1,F9)))</f>
        <v>14</v>
      </c>
      <c r="H9" s="46" t="n">
        <f aca="false">IF(C9="","",N(G9)*IFERROR(INDEX(Taux,MATCH(D9,Equipe,0)),0)+N(L9))</f>
        <v>4200</v>
      </c>
      <c r="I9" s="43"/>
      <c r="J9" s="43"/>
      <c r="K9" s="47" t="n">
        <f aca="false">IF(E9="","",IF(AND(I9&lt;&gt;"",J9&lt;&gt;""),ROUND((I9+4*E9+J9)/6,1),E9))</f>
        <v>14</v>
      </c>
      <c r="L9" s="24"/>
      <c r="M9" s="48" t="s">
        <v>197</v>
      </c>
      <c r="N9" s="49"/>
      <c r="O9" s="49"/>
      <c r="P9" s="47" t="n">
        <f aca="false">IF(OR(C9="",N(G9)=0),"",IF(O9="",MAX(G9,N(N9)),N(N9)+O9))</f>
        <v>14</v>
      </c>
      <c r="Q9" s="50" t="n">
        <f aca="false">IF(P9="","",P9-G9)</f>
        <v>0</v>
      </c>
      <c r="R9" s="46" t="n">
        <f aca="false">IF(C9="","",N(P9)*IFERROR(INDEX(Taux,MATCH(D9,Equipe,0)),0)+N(L9))</f>
        <v>4200</v>
      </c>
      <c r="S9" s="23" t="s">
        <v>206</v>
      </c>
    </row>
    <row r="10" customFormat="false" ht="15" hidden="false" customHeight="true" outlineLevel="0" collapsed="false">
      <c r="A10" s="41" t="s">
        <v>207</v>
      </c>
      <c r="B10" s="42" t="str">
        <f aca="false">IF(A10="","",IFERROR(INDEX(Lot_nom,MATCH(LEFT(A10,FIND(".",A10&amp;".")-1)&amp;"",Lot_num,0)),"Unknown phase"))</f>
        <v>Prototype</v>
      </c>
      <c r="C10" s="23" t="s">
        <v>208</v>
      </c>
      <c r="D10" s="23" t="s">
        <v>90</v>
      </c>
      <c r="E10" s="43" t="n">
        <v>18</v>
      </c>
      <c r="F10" s="44" t="n">
        <v>1</v>
      </c>
      <c r="G10" s="45" t="n">
        <f aca="false">IF(C10="","",IF(K10="",0,K10*IF(F10="",1,F10)))</f>
        <v>18</v>
      </c>
      <c r="H10" s="46" t="n">
        <f aca="false">IF(C10="","",N(G10)*IFERROR(INDEX(Taux,MATCH(D10,Equipe,0)),0)+N(L10))</f>
        <v>5400</v>
      </c>
      <c r="I10" s="43"/>
      <c r="J10" s="43"/>
      <c r="K10" s="47" t="n">
        <f aca="false">IF(E10="","",IF(AND(I10&lt;&gt;"",J10&lt;&gt;""),ROUND((I10+4*E10+J10)/6,1),E10))</f>
        <v>18</v>
      </c>
      <c r="L10" s="24"/>
      <c r="M10" s="48" t="s">
        <v>197</v>
      </c>
      <c r="N10" s="49"/>
      <c r="O10" s="49"/>
      <c r="P10" s="47" t="n">
        <f aca="false">IF(OR(C10="",N(G10)=0),"",IF(O10="",MAX(G10,N(N10)),N(N10)+O10))</f>
        <v>18</v>
      </c>
      <c r="Q10" s="50" t="n">
        <f aca="false">IF(P10="","",P10-G10)</f>
        <v>0</v>
      </c>
      <c r="R10" s="46" t="n">
        <f aca="false">IF(C10="","",N(P10)*IFERROR(INDEX(Taux,MATCH(D10,Equipe,0)),0)+N(L10))</f>
        <v>5400</v>
      </c>
      <c r="S10" s="23"/>
    </row>
    <row r="11" customFormat="false" ht="15" hidden="false" customHeight="true" outlineLevel="0" collapsed="false">
      <c r="A11" s="41" t="s">
        <v>209</v>
      </c>
      <c r="B11" s="42" t="str">
        <f aca="false">IF(A11="","",IFERROR(INDEX(Lot_nom,MATCH(LEFT(A11,FIND(".",A11&amp;".")-1)&amp;"",Lot_num,0)),"Unknown phase"))</f>
        <v>Prototype</v>
      </c>
      <c r="C11" s="23" t="s">
        <v>210</v>
      </c>
      <c r="D11" s="23" t="s">
        <v>92</v>
      </c>
      <c r="E11" s="43" t="n">
        <v>8</v>
      </c>
      <c r="F11" s="44" t="n">
        <v>1</v>
      </c>
      <c r="G11" s="45" t="n">
        <f aca="false">IF(C11="","",IF(K11="",0,K11*IF(F11="",1,F11)))</f>
        <v>8</v>
      </c>
      <c r="H11" s="46" t="n">
        <f aca="false">IF(C11="","",N(G11)*IFERROR(INDEX(Taux,MATCH(D11,Equipe,0)),0)+N(L11))</f>
        <v>2400</v>
      </c>
      <c r="I11" s="43"/>
      <c r="J11" s="43"/>
      <c r="K11" s="47" t="n">
        <f aca="false">IF(E11="","",IF(AND(I11&lt;&gt;"",J11&lt;&gt;""),ROUND((I11+4*E11+J11)/6,1),E11))</f>
        <v>8</v>
      </c>
      <c r="L11" s="24"/>
      <c r="M11" s="48" t="s">
        <v>197</v>
      </c>
      <c r="N11" s="49"/>
      <c r="O11" s="49"/>
      <c r="P11" s="47" t="n">
        <f aca="false">IF(OR(C11="",N(G11)=0),"",IF(O11="",MAX(G11,N(N11)),N(N11)+O11))</f>
        <v>8</v>
      </c>
      <c r="Q11" s="50" t="n">
        <f aca="false">IF(P11="","",P11-G11)</f>
        <v>0</v>
      </c>
      <c r="R11" s="46" t="n">
        <f aca="false">IF(C11="","",N(P11)*IFERROR(INDEX(Taux,MATCH(D11,Equipe,0)),0)+N(L11))</f>
        <v>2400</v>
      </c>
      <c r="S11" s="23"/>
    </row>
    <row r="12" customFormat="false" ht="15" hidden="false" customHeight="true" outlineLevel="0" collapsed="false">
      <c r="A12" s="41" t="s">
        <v>211</v>
      </c>
      <c r="B12" s="42" t="str">
        <f aca="false">IF(A12="","",IFERROR(INDEX(Lot_nom,MATCH(LEFT(A12,FIND(".",A12&amp;".")-1)&amp;"",Lot_num,0)),"Unknown phase"))</f>
        <v>Prototype</v>
      </c>
      <c r="C12" s="23" t="s">
        <v>212</v>
      </c>
      <c r="D12" s="23" t="s">
        <v>92</v>
      </c>
      <c r="E12" s="43" t="n">
        <v>6</v>
      </c>
      <c r="F12" s="44" t="n">
        <v>1</v>
      </c>
      <c r="G12" s="45" t="n">
        <f aca="false">IF(C12="","",IF(K12="",0,K12*IF(F12="",1,F12)))</f>
        <v>6</v>
      </c>
      <c r="H12" s="46" t="n">
        <f aca="false">IF(C12="","",N(G12)*IFERROR(INDEX(Taux,MATCH(D12,Equipe,0)),0)+N(L12))</f>
        <v>1800</v>
      </c>
      <c r="I12" s="43"/>
      <c r="J12" s="43"/>
      <c r="K12" s="47" t="n">
        <f aca="false">IF(E12="","",IF(AND(I12&lt;&gt;"",J12&lt;&gt;""),ROUND((I12+4*E12+J12)/6,1),E12))</f>
        <v>6</v>
      </c>
      <c r="L12" s="24"/>
      <c r="M12" s="48" t="s">
        <v>197</v>
      </c>
      <c r="N12" s="49"/>
      <c r="O12" s="49"/>
      <c r="P12" s="47" t="n">
        <f aca="false">IF(OR(C12="",N(G12)=0),"",IF(O12="",MAX(G12,N(N12)),N(N12)+O12))</f>
        <v>6</v>
      </c>
      <c r="Q12" s="50" t="n">
        <f aca="false">IF(P12="","",P12-G12)</f>
        <v>0</v>
      </c>
      <c r="R12" s="46" t="n">
        <f aca="false">IF(C12="","",N(P12)*IFERROR(INDEX(Taux,MATCH(D12,Equipe,0)),0)+N(L12))</f>
        <v>1800</v>
      </c>
      <c r="S12" s="23"/>
    </row>
    <row r="13" customFormat="false" ht="15" hidden="false" customHeight="true" outlineLevel="0" collapsed="false">
      <c r="A13" s="41" t="s">
        <v>213</v>
      </c>
      <c r="B13" s="42" t="str">
        <f aca="false">IF(A13="","",IFERROR(INDEX(Lot_nom,MATCH(LEFT(A13,FIND(".",A13&amp;".")-1)&amp;"",Lot_num,0)),"Unknown phase"))</f>
        <v>Prototype</v>
      </c>
      <c r="C13" s="23" t="s">
        <v>214</v>
      </c>
      <c r="D13" s="23" t="s">
        <v>92</v>
      </c>
      <c r="E13" s="43" t="n">
        <v>2</v>
      </c>
      <c r="F13" s="44" t="n">
        <v>4</v>
      </c>
      <c r="G13" s="45" t="n">
        <f aca="false">IF(C13="","",IF(K13="",0,K13*IF(F13="",1,F13)))</f>
        <v>8</v>
      </c>
      <c r="H13" s="46" t="n">
        <f aca="false">IF(C13="","",N(G13)*IFERROR(INDEX(Taux,MATCH(D13,Equipe,0)),0)+N(L13))</f>
        <v>2550</v>
      </c>
      <c r="I13" s="43"/>
      <c r="J13" s="43"/>
      <c r="K13" s="47" t="n">
        <f aca="false">IF(E13="","",IF(AND(I13&lt;&gt;"",J13&lt;&gt;""),ROUND((I13+4*E13+J13)/6,1),E13))</f>
        <v>2</v>
      </c>
      <c r="L13" s="24" t="n">
        <v>150</v>
      </c>
      <c r="M13" s="48" t="s">
        <v>197</v>
      </c>
      <c r="N13" s="49"/>
      <c r="O13" s="49"/>
      <c r="P13" s="47" t="n">
        <f aca="false">IF(OR(C13="",N(G13)=0),"",IF(O13="",MAX(G13,N(N13)),N(N13)+O13))</f>
        <v>8</v>
      </c>
      <c r="Q13" s="50" t="n">
        <f aca="false">IF(P13="","",P13-G13)</f>
        <v>0</v>
      </c>
      <c r="R13" s="46" t="n">
        <f aca="false">IF(C13="","",N(P13)*IFERROR(INDEX(Taux,MATCH(D13,Equipe,0)),0)+N(L13))</f>
        <v>2550</v>
      </c>
      <c r="S13" s="23" t="s">
        <v>215</v>
      </c>
    </row>
    <row r="14" customFormat="false" ht="15" hidden="false" customHeight="true" outlineLevel="0" collapsed="false">
      <c r="A14" s="41" t="s">
        <v>216</v>
      </c>
      <c r="B14" s="42" t="str">
        <f aca="false">IF(A14="","",IFERROR(INDEX(Lot_nom,MATCH(LEFT(A14,FIND(".",A14&amp;".")-1)&amp;"",Lot_num,0)),"Unknown phase"))</f>
        <v>Prototype</v>
      </c>
      <c r="C14" s="23" t="s">
        <v>217</v>
      </c>
      <c r="D14" s="23" t="s">
        <v>92</v>
      </c>
      <c r="E14" s="43" t="n">
        <v>5</v>
      </c>
      <c r="F14" s="44" t="n">
        <v>1</v>
      </c>
      <c r="G14" s="45" t="n">
        <f aca="false">IF(C14="","",IF(K14="",0,K14*IF(F14="",1,F14)))</f>
        <v>5</v>
      </c>
      <c r="H14" s="46" t="n">
        <f aca="false">IF(C14="","",N(G14)*IFERROR(INDEX(Taux,MATCH(D14,Equipe,0)),0)+N(L14))</f>
        <v>1500</v>
      </c>
      <c r="I14" s="43"/>
      <c r="J14" s="43"/>
      <c r="K14" s="47" t="n">
        <f aca="false">IF(E14="","",IF(AND(I14&lt;&gt;"",J14&lt;&gt;""),ROUND((I14+4*E14+J14)/6,1),E14))</f>
        <v>5</v>
      </c>
      <c r="L14" s="24"/>
      <c r="M14" s="48" t="s">
        <v>218</v>
      </c>
      <c r="N14" s="49"/>
      <c r="O14" s="49"/>
      <c r="P14" s="47" t="n">
        <f aca="false">IF(OR(C14="",N(G14)=0),"",IF(O14="",MAX(G14,N(N14)),N(N14)+O14))</f>
        <v>5</v>
      </c>
      <c r="Q14" s="50" t="n">
        <f aca="false">IF(P14="","",P14-G14)</f>
        <v>0</v>
      </c>
      <c r="R14" s="46" t="n">
        <f aca="false">IF(C14="","",N(P14)*IFERROR(INDEX(Taux,MATCH(D14,Equipe,0)),0)+N(L14))</f>
        <v>1500</v>
      </c>
      <c r="S14" s="23" t="s">
        <v>219</v>
      </c>
    </row>
    <row r="15" customFormat="false" ht="15" hidden="false" customHeight="true" outlineLevel="0" collapsed="false">
      <c r="A15" s="41" t="s">
        <v>220</v>
      </c>
      <c r="B15" s="42" t="str">
        <f aca="false">IF(A15="","",IFERROR(INDEX(Lot_nom,MATCH(LEFT(A15,FIND(".",A15&amp;".")-1)&amp;"",Lot_num,0)),"Unknown phase"))</f>
        <v>Steam page</v>
      </c>
      <c r="C15" s="23" t="s">
        <v>221</v>
      </c>
      <c r="D15" s="23" t="s">
        <v>95</v>
      </c>
      <c r="E15" s="43"/>
      <c r="F15" s="44"/>
      <c r="G15" s="45" t="n">
        <f aca="false">IF(C15="","",IF(K15="",0,K15*IF(F15="",1,F15)))</f>
        <v>0</v>
      </c>
      <c r="H15" s="46" t="n">
        <f aca="false">IF(C15="","",N(G15)*IFERROR(INDEX(Taux,MATCH(D15,Equipe,0)),0)+N(L15))</f>
        <v>500</v>
      </c>
      <c r="I15" s="43"/>
      <c r="J15" s="43"/>
      <c r="K15" s="47" t="str">
        <f aca="false">IF(E15="","",IF(AND(I15&lt;&gt;"",J15&lt;&gt;""),ROUND((I15+4*E15+J15)/6,1),E15))</f>
        <v/>
      </c>
      <c r="L15" s="24" t="n">
        <v>500</v>
      </c>
      <c r="M15" s="48" t="s">
        <v>218</v>
      </c>
      <c r="N15" s="49"/>
      <c r="O15" s="49"/>
      <c r="P15" s="47" t="str">
        <f aca="false">IF(OR(C15="",N(G15)=0),"",IF(O15="",MAX(G15,N(N15)),N(N15)+O15))</f>
        <v/>
      </c>
      <c r="Q15" s="50" t="str">
        <f aca="false">IF(P15="","",P15-G15)</f>
        <v/>
      </c>
      <c r="R15" s="46" t="n">
        <f aca="false">IF(C15="","",N(P15)*IFERROR(INDEX(Taux,MATCH(D15,Equipe,0)),0)+N(L15))</f>
        <v>500</v>
      </c>
      <c r="S15" s="23" t="s">
        <v>222</v>
      </c>
    </row>
    <row r="16" customFormat="false" ht="15" hidden="false" customHeight="true" outlineLevel="0" collapsed="false">
      <c r="A16" s="41" t="s">
        <v>223</v>
      </c>
      <c r="B16" s="42" t="str">
        <f aca="false">IF(A16="","",IFERROR(INDEX(Lot_nom,MATCH(LEFT(A16,FIND(".",A16&amp;".")-1)&amp;"",Lot_num,0)),"Unknown phase"))</f>
        <v>Steam page</v>
      </c>
      <c r="C16" s="23" t="s">
        <v>224</v>
      </c>
      <c r="D16" s="23" t="s">
        <v>90</v>
      </c>
      <c r="E16" s="43" t="n">
        <v>1</v>
      </c>
      <c r="F16" s="44" t="n">
        <v>4</v>
      </c>
      <c r="G16" s="45" t="n">
        <f aca="false">IF(C16="","",IF(K16="",0,K16*IF(F16="",1,F16)))</f>
        <v>4</v>
      </c>
      <c r="H16" s="46" t="n">
        <f aca="false">IF(C16="","",N(G16)*IFERROR(INDEX(Taux,MATCH(D16,Equipe,0)),0)+N(L16))</f>
        <v>1200</v>
      </c>
      <c r="I16" s="43"/>
      <c r="J16" s="43"/>
      <c r="K16" s="47" t="n">
        <f aca="false">IF(E16="","",IF(AND(I16&lt;&gt;"",J16&lt;&gt;""),ROUND((I16+4*E16+J16)/6,1),E16))</f>
        <v>1</v>
      </c>
      <c r="L16" s="24"/>
      <c r="M16" s="48" t="s">
        <v>218</v>
      </c>
      <c r="N16" s="49"/>
      <c r="O16" s="49"/>
      <c r="P16" s="47" t="n">
        <f aca="false">IF(OR(C16="",N(G16)=0),"",IF(O16="",MAX(G16,N(N16)),N(N16)+O16))</f>
        <v>4</v>
      </c>
      <c r="Q16" s="50" t="n">
        <f aca="false">IF(P16="","",P16-G16)</f>
        <v>0</v>
      </c>
      <c r="R16" s="46" t="n">
        <f aca="false">IF(C16="","",N(P16)*IFERROR(INDEX(Taux,MATCH(D16,Equipe,0)),0)+N(L16))</f>
        <v>1200</v>
      </c>
      <c r="S16" s="23"/>
    </row>
    <row r="17" customFormat="false" ht="15" hidden="false" customHeight="true" outlineLevel="0" collapsed="false">
      <c r="A17" s="41" t="s">
        <v>225</v>
      </c>
      <c r="B17" s="42" t="str">
        <f aca="false">IF(A17="","",IFERROR(INDEX(Lot_nom,MATCH(LEFT(A17,FIND(".",A17&amp;".")-1)&amp;"",Lot_num,0)),"Unknown phase"))</f>
        <v>Steam page</v>
      </c>
      <c r="C17" s="23" t="s">
        <v>226</v>
      </c>
      <c r="D17" s="23" t="s">
        <v>90</v>
      </c>
      <c r="E17" s="43" t="n">
        <v>5</v>
      </c>
      <c r="F17" s="44" t="n">
        <v>1</v>
      </c>
      <c r="G17" s="45" t="n">
        <f aca="false">IF(C17="","",IF(K17="",0,K17*IF(F17="",1,F17)))</f>
        <v>5</v>
      </c>
      <c r="H17" s="46" t="n">
        <f aca="false">IF(C17="","",N(G17)*IFERROR(INDEX(Taux,MATCH(D17,Equipe,0)),0)+N(L17))</f>
        <v>1500</v>
      </c>
      <c r="I17" s="43"/>
      <c r="J17" s="43"/>
      <c r="K17" s="47" t="n">
        <f aca="false">IF(E17="","",IF(AND(I17&lt;&gt;"",J17&lt;&gt;""),ROUND((I17+4*E17+J17)/6,1),E17))</f>
        <v>5</v>
      </c>
      <c r="L17" s="24"/>
      <c r="M17" s="48" t="s">
        <v>218</v>
      </c>
      <c r="N17" s="49"/>
      <c r="O17" s="49"/>
      <c r="P17" s="47" t="n">
        <f aca="false">IF(OR(C17="",N(G17)=0),"",IF(O17="",MAX(G17,N(N17)),N(N17)+O17))</f>
        <v>5</v>
      </c>
      <c r="Q17" s="50" t="n">
        <f aca="false">IF(P17="","",P17-G17)</f>
        <v>0</v>
      </c>
      <c r="R17" s="46" t="n">
        <f aca="false">IF(C17="","",N(P17)*IFERROR(INDEX(Taux,MATCH(D17,Equipe,0)),0)+N(L17))</f>
        <v>1500</v>
      </c>
      <c r="S17" s="23"/>
    </row>
    <row r="18" customFormat="false" ht="15" hidden="false" customHeight="true" outlineLevel="0" collapsed="false">
      <c r="A18" s="41" t="s">
        <v>227</v>
      </c>
      <c r="B18" s="42" t="str">
        <f aca="false">IF(A18="","",IFERROR(INDEX(Lot_nom,MATCH(LEFT(A18,FIND(".",A18&amp;".")-1)&amp;"",Lot_num,0)),"Unknown phase"))</f>
        <v>Steam page</v>
      </c>
      <c r="C18" s="23" t="s">
        <v>228</v>
      </c>
      <c r="D18" s="23" t="s">
        <v>92</v>
      </c>
      <c r="E18" s="43" t="n">
        <v>3</v>
      </c>
      <c r="F18" s="44" t="n">
        <v>1</v>
      </c>
      <c r="G18" s="45" t="n">
        <f aca="false">IF(C18="","",IF(K18="",0,K18*IF(F18="",1,F18)))</f>
        <v>3</v>
      </c>
      <c r="H18" s="46" t="n">
        <f aca="false">IF(C18="","",N(G18)*IFERROR(INDEX(Taux,MATCH(D18,Equipe,0)),0)+N(L18))</f>
        <v>900</v>
      </c>
      <c r="I18" s="43"/>
      <c r="J18" s="43"/>
      <c r="K18" s="47" t="n">
        <f aca="false">IF(E18="","",IF(AND(I18&lt;&gt;"",J18&lt;&gt;""),ROUND((I18+4*E18+J18)/6,1),E18))</f>
        <v>3</v>
      </c>
      <c r="L18" s="24"/>
      <c r="M18" s="48" t="s">
        <v>218</v>
      </c>
      <c r="N18" s="49"/>
      <c r="O18" s="49"/>
      <c r="P18" s="47" t="n">
        <f aca="false">IF(OR(C18="",N(G18)=0),"",IF(O18="",MAX(G18,N(N18)),N(N18)+O18))</f>
        <v>3</v>
      </c>
      <c r="Q18" s="50" t="n">
        <f aca="false">IF(P18="","",P18-G18)</f>
        <v>0</v>
      </c>
      <c r="R18" s="46" t="n">
        <f aca="false">IF(C18="","",N(P18)*IFERROR(INDEX(Taux,MATCH(D18,Equipe,0)),0)+N(L18))</f>
        <v>900</v>
      </c>
      <c r="S18" s="23" t="s">
        <v>229</v>
      </c>
    </row>
    <row r="19" customFormat="false" ht="15" hidden="false" customHeight="true" outlineLevel="0" collapsed="false">
      <c r="A19" s="41" t="s">
        <v>230</v>
      </c>
      <c r="B19" s="42" t="str">
        <f aca="false">IF(A19="","",IFERROR(INDEX(Lot_nom,MATCH(LEFT(A19,FIND(".",A19&amp;".")-1)&amp;"",Lot_num,0)),"Unknown phase"))</f>
        <v>Production</v>
      </c>
      <c r="C19" s="23" t="s">
        <v>231</v>
      </c>
      <c r="D19" s="23" t="s">
        <v>92</v>
      </c>
      <c r="E19" s="43" t="n">
        <v>4.5</v>
      </c>
      <c r="F19" s="44" t="n">
        <v>12</v>
      </c>
      <c r="G19" s="45" t="n">
        <f aca="false">IF(C19="","",IF(K19="",0,K19*IF(F19="",1,F19)))</f>
        <v>54</v>
      </c>
      <c r="H19" s="46" t="n">
        <f aca="false">IF(C19="","",N(G19)*IFERROR(INDEX(Taux,MATCH(D19,Equipe,0)),0)+N(L19))</f>
        <v>16200</v>
      </c>
      <c r="I19" s="43"/>
      <c r="J19" s="43"/>
      <c r="K19" s="47" t="n">
        <f aca="false">IF(E19="","",IF(AND(I19&lt;&gt;"",J19&lt;&gt;""),ROUND((I19+4*E19+J19)/6,1),E19))</f>
        <v>4.5</v>
      </c>
      <c r="L19" s="24"/>
      <c r="M19" s="48" t="s">
        <v>197</v>
      </c>
      <c r="N19" s="49"/>
      <c r="O19" s="49"/>
      <c r="P19" s="47" t="n">
        <f aca="false">IF(OR(C19="",N(G19)=0),"",IF(O19="",MAX(G19,N(N19)),N(N19)+O19))</f>
        <v>54</v>
      </c>
      <c r="Q19" s="50" t="n">
        <f aca="false">IF(P19="","",P19-G19)</f>
        <v>0</v>
      </c>
      <c r="R19" s="46" t="n">
        <f aca="false">IF(C19="","",N(P19)*IFERROR(INDEX(Taux,MATCH(D19,Equipe,0)),0)+N(L19))</f>
        <v>16200</v>
      </c>
      <c r="S19" s="23" t="s">
        <v>232</v>
      </c>
    </row>
    <row r="20" customFormat="false" ht="15" hidden="false" customHeight="true" outlineLevel="0" collapsed="false">
      <c r="A20" s="41" t="s">
        <v>233</v>
      </c>
      <c r="B20" s="42" t="str">
        <f aca="false">IF(A20="","",IFERROR(INDEX(Lot_nom,MATCH(LEFT(A20,FIND(".",A20&amp;".")-1)&amp;"",Lot_num,0)),"Unknown phase"))</f>
        <v>Production</v>
      </c>
      <c r="C20" s="23" t="s">
        <v>234</v>
      </c>
      <c r="D20" s="23" t="s">
        <v>90</v>
      </c>
      <c r="E20" s="43" t="n">
        <v>14</v>
      </c>
      <c r="F20" s="44" t="n">
        <v>4</v>
      </c>
      <c r="G20" s="45" t="n">
        <f aca="false">IF(C20="","",IF(K20="",0,K20*IF(F20="",1,F20)))</f>
        <v>56</v>
      </c>
      <c r="H20" s="46" t="n">
        <f aca="false">IF(C20="","",N(G20)*IFERROR(INDEX(Taux,MATCH(D20,Equipe,0)),0)+N(L20))</f>
        <v>16800</v>
      </c>
      <c r="I20" s="43"/>
      <c r="J20" s="43"/>
      <c r="K20" s="47" t="n">
        <f aca="false">IF(E20="","",IF(AND(I20&lt;&gt;"",J20&lt;&gt;""),ROUND((I20+4*E20+J20)/6,1),E20))</f>
        <v>14</v>
      </c>
      <c r="L20" s="24"/>
      <c r="M20" s="48" t="s">
        <v>197</v>
      </c>
      <c r="N20" s="49"/>
      <c r="O20" s="49"/>
      <c r="P20" s="47" t="n">
        <f aca="false">IF(OR(C20="",N(G20)=0),"",IF(O20="",MAX(G20,N(N20)),N(N20)+O20))</f>
        <v>56</v>
      </c>
      <c r="Q20" s="50" t="n">
        <f aca="false">IF(P20="","",P20-G20)</f>
        <v>0</v>
      </c>
      <c r="R20" s="46" t="n">
        <f aca="false">IF(C20="","",N(P20)*IFERROR(INDEX(Taux,MATCH(D20,Equipe,0)),0)+N(L20))</f>
        <v>16800</v>
      </c>
      <c r="S20" s="23" t="s">
        <v>235</v>
      </c>
    </row>
    <row r="21" customFormat="false" ht="15" hidden="false" customHeight="true" outlineLevel="0" collapsed="false">
      <c r="A21" s="41" t="s">
        <v>236</v>
      </c>
      <c r="B21" s="42" t="str">
        <f aca="false">IF(A21="","",IFERROR(INDEX(Lot_nom,MATCH(LEFT(A21,FIND(".",A21&amp;".")-1)&amp;"",Lot_num,0)),"Unknown phase"))</f>
        <v>Production</v>
      </c>
      <c r="C21" s="23" t="s">
        <v>237</v>
      </c>
      <c r="D21" s="23" t="s">
        <v>88</v>
      </c>
      <c r="E21" s="43" t="n">
        <v>3</v>
      </c>
      <c r="F21" s="44" t="n">
        <v>8</v>
      </c>
      <c r="G21" s="45" t="n">
        <f aca="false">IF(C21="","",IF(K21="",0,K21*IF(F21="",1,F21)))</f>
        <v>24</v>
      </c>
      <c r="H21" s="46" t="n">
        <f aca="false">IF(C21="","",N(G21)*IFERROR(INDEX(Taux,MATCH(D21,Equipe,0)),0)+N(L21))</f>
        <v>8400</v>
      </c>
      <c r="I21" s="43"/>
      <c r="J21" s="43"/>
      <c r="K21" s="47" t="n">
        <f aca="false">IF(E21="","",IF(AND(I21&lt;&gt;"",J21&lt;&gt;""),ROUND((I21+4*E21+J21)/6,1),E21))</f>
        <v>3</v>
      </c>
      <c r="L21" s="24"/>
      <c r="M21" s="48" t="s">
        <v>197</v>
      </c>
      <c r="N21" s="49"/>
      <c r="O21" s="49"/>
      <c r="P21" s="47" t="n">
        <f aca="false">IF(OR(C21="",N(G21)=0),"",IF(O21="",MAX(G21,N(N21)),N(N21)+O21))</f>
        <v>24</v>
      </c>
      <c r="Q21" s="50" t="n">
        <f aca="false">IF(P21="","",P21-G21)</f>
        <v>0</v>
      </c>
      <c r="R21" s="46" t="n">
        <f aca="false">IF(C21="","",N(P21)*IFERROR(INDEX(Taux,MATCH(D21,Equipe,0)),0)+N(L21))</f>
        <v>8400</v>
      </c>
      <c r="S21" s="23" t="s">
        <v>238</v>
      </c>
    </row>
    <row r="22" customFormat="false" ht="15" hidden="false" customHeight="true" outlineLevel="0" collapsed="false">
      <c r="A22" s="41" t="s">
        <v>239</v>
      </c>
      <c r="B22" s="42" t="str">
        <f aca="false">IF(A22="","",IFERROR(INDEX(Lot_nom,MATCH(LEFT(A22,FIND(".",A22&amp;".")-1)&amp;"",Lot_num,0)),"Unknown phase"))</f>
        <v>Production</v>
      </c>
      <c r="C22" s="23" t="s">
        <v>240</v>
      </c>
      <c r="D22" s="23" t="s">
        <v>90</v>
      </c>
      <c r="E22" s="43" t="n">
        <v>2.5</v>
      </c>
      <c r="F22" s="44" t="n">
        <v>8</v>
      </c>
      <c r="G22" s="45" t="n">
        <f aca="false">IF(C22="","",IF(K22="",0,K22*IF(F22="",1,F22)))</f>
        <v>20</v>
      </c>
      <c r="H22" s="46" t="n">
        <f aca="false">IF(C22="","",N(G22)*IFERROR(INDEX(Taux,MATCH(D22,Equipe,0)),0)+N(L22))</f>
        <v>6000</v>
      </c>
      <c r="I22" s="43"/>
      <c r="J22" s="43"/>
      <c r="K22" s="47" t="n">
        <f aca="false">IF(E22="","",IF(AND(I22&lt;&gt;"",J22&lt;&gt;""),ROUND((I22+4*E22+J22)/6,1),E22))</f>
        <v>2.5</v>
      </c>
      <c r="L22" s="24"/>
      <c r="M22" s="48" t="s">
        <v>197</v>
      </c>
      <c r="N22" s="49"/>
      <c r="O22" s="49"/>
      <c r="P22" s="47" t="n">
        <f aca="false">IF(OR(C22="",N(G22)=0),"",IF(O22="",MAX(G22,N(N22)),N(N22)+O22))</f>
        <v>20</v>
      </c>
      <c r="Q22" s="50" t="n">
        <f aca="false">IF(P22="","",P22-G22)</f>
        <v>0</v>
      </c>
      <c r="R22" s="46" t="n">
        <f aca="false">IF(C22="","",N(P22)*IFERROR(INDEX(Taux,MATCH(D22,Equipe,0)),0)+N(L22))</f>
        <v>6000</v>
      </c>
      <c r="S22" s="23"/>
    </row>
    <row r="23" customFormat="false" ht="15" hidden="false" customHeight="true" outlineLevel="0" collapsed="false">
      <c r="A23" s="41" t="s">
        <v>241</v>
      </c>
      <c r="B23" s="42" t="str">
        <f aca="false">IF(A23="","",IFERROR(INDEX(Lot_nom,MATCH(LEFT(A23,FIND(".",A23&amp;".")-1)&amp;"",Lot_num,0)),"Unknown phase"))</f>
        <v>Production</v>
      </c>
      <c r="C23" s="23" t="s">
        <v>242</v>
      </c>
      <c r="D23" s="23" t="s">
        <v>88</v>
      </c>
      <c r="E23" s="43" t="n">
        <v>9</v>
      </c>
      <c r="F23" s="44" t="n">
        <v>4</v>
      </c>
      <c r="G23" s="45" t="n">
        <f aca="false">IF(C23="","",IF(K23="",0,K23*IF(F23="",1,F23)))</f>
        <v>40</v>
      </c>
      <c r="H23" s="46" t="n">
        <f aca="false">IF(C23="","",N(G23)*IFERROR(INDEX(Taux,MATCH(D23,Equipe,0)),0)+N(L23))</f>
        <v>14000</v>
      </c>
      <c r="I23" s="43" t="n">
        <v>6</v>
      </c>
      <c r="J23" s="43" t="n">
        <v>18</v>
      </c>
      <c r="K23" s="47" t="n">
        <f aca="false">IF(E23="","",IF(AND(I23&lt;&gt;"",J23&lt;&gt;""),ROUND((I23+4*E23+J23)/6,1),E23))</f>
        <v>10</v>
      </c>
      <c r="L23" s="24"/>
      <c r="M23" s="48" t="s">
        <v>197</v>
      </c>
      <c r="N23" s="49"/>
      <c r="O23" s="49"/>
      <c r="P23" s="47" t="n">
        <f aca="false">IF(OR(C23="",N(G23)=0),"",IF(O23="",MAX(G23,N(N23)),N(N23)+O23))</f>
        <v>40</v>
      </c>
      <c r="Q23" s="50" t="n">
        <f aca="false">IF(P23="","",P23-G23)</f>
        <v>0</v>
      </c>
      <c r="R23" s="46" t="n">
        <f aca="false">IF(C23="","",N(P23)*IFERROR(INDEX(Taux,MATCH(D23,Equipe,0)),0)+N(L23))</f>
        <v>14000</v>
      </c>
      <c r="S23" s="23" t="s">
        <v>243</v>
      </c>
    </row>
    <row r="24" customFormat="false" ht="15" hidden="false" customHeight="true" outlineLevel="0" collapsed="false">
      <c r="A24" s="41" t="s">
        <v>244</v>
      </c>
      <c r="B24" s="42" t="str">
        <f aca="false">IF(A24="","",IFERROR(INDEX(Lot_nom,MATCH(LEFT(A24,FIND(".",A24&amp;".")-1)&amp;"",Lot_num,0)),"Unknown phase"))</f>
        <v>Production</v>
      </c>
      <c r="C24" s="23" t="s">
        <v>245</v>
      </c>
      <c r="D24" s="23" t="s">
        <v>88</v>
      </c>
      <c r="E24" s="43" t="n">
        <v>4</v>
      </c>
      <c r="F24" s="44" t="n">
        <v>4</v>
      </c>
      <c r="G24" s="45" t="n">
        <f aca="false">IF(C24="","",IF(K24="",0,K24*IF(F24="",1,F24)))</f>
        <v>16</v>
      </c>
      <c r="H24" s="46" t="n">
        <f aca="false">IF(C24="","",N(G24)*IFERROR(INDEX(Taux,MATCH(D24,Equipe,0)),0)+N(L24))</f>
        <v>5600</v>
      </c>
      <c r="I24" s="43"/>
      <c r="J24" s="43"/>
      <c r="K24" s="47" t="n">
        <f aca="false">IF(E24="","",IF(AND(I24&lt;&gt;"",J24&lt;&gt;""),ROUND((I24+4*E24+J24)/6,1),E24))</f>
        <v>4</v>
      </c>
      <c r="L24" s="24"/>
      <c r="M24" s="48" t="s">
        <v>197</v>
      </c>
      <c r="N24" s="49"/>
      <c r="O24" s="49"/>
      <c r="P24" s="47" t="n">
        <f aca="false">IF(OR(C24="",N(G24)=0),"",IF(O24="",MAX(G24,N(N24)),N(N24)+O24))</f>
        <v>16</v>
      </c>
      <c r="Q24" s="50" t="n">
        <f aca="false">IF(P24="","",P24-G24)</f>
        <v>0</v>
      </c>
      <c r="R24" s="46" t="n">
        <f aca="false">IF(C24="","",N(P24)*IFERROR(INDEX(Taux,MATCH(D24,Equipe,0)),0)+N(L24))</f>
        <v>5600</v>
      </c>
      <c r="S24" s="23"/>
    </row>
    <row r="25" customFormat="false" ht="15" hidden="false" customHeight="true" outlineLevel="0" collapsed="false">
      <c r="A25" s="41" t="s">
        <v>246</v>
      </c>
      <c r="B25" s="42" t="str">
        <f aca="false">IF(A25="","",IFERROR(INDEX(Lot_nom,MATCH(LEFT(A25,FIND(".",A25&amp;".")-1)&amp;"",Lot_num,0)),"Unknown phase"))</f>
        <v>Production</v>
      </c>
      <c r="C25" s="23" t="s">
        <v>247</v>
      </c>
      <c r="D25" s="23" t="s">
        <v>88</v>
      </c>
      <c r="E25" s="43" t="n">
        <v>7</v>
      </c>
      <c r="F25" s="44" t="n">
        <v>1</v>
      </c>
      <c r="G25" s="45" t="n">
        <f aca="false">IF(C25="","",IF(K25="",0,K25*IF(F25="",1,F25)))</f>
        <v>7</v>
      </c>
      <c r="H25" s="46" t="n">
        <f aca="false">IF(C25="","",N(G25)*IFERROR(INDEX(Taux,MATCH(D25,Equipe,0)),0)+N(L25))</f>
        <v>2450</v>
      </c>
      <c r="I25" s="43"/>
      <c r="J25" s="43"/>
      <c r="K25" s="47" t="n">
        <f aca="false">IF(E25="","",IF(AND(I25&lt;&gt;"",J25&lt;&gt;""),ROUND((I25+4*E25+J25)/6,1),E25))</f>
        <v>7</v>
      </c>
      <c r="L25" s="24"/>
      <c r="M25" s="48" t="s">
        <v>197</v>
      </c>
      <c r="N25" s="49"/>
      <c r="O25" s="49"/>
      <c r="P25" s="47" t="n">
        <f aca="false">IF(OR(C25="",N(G25)=0),"",IF(O25="",MAX(G25,N(N25)),N(N25)+O25))</f>
        <v>7</v>
      </c>
      <c r="Q25" s="50" t="n">
        <f aca="false">IF(P25="","",P25-G25)</f>
        <v>0</v>
      </c>
      <c r="R25" s="46" t="n">
        <f aca="false">IF(C25="","",N(P25)*IFERROR(INDEX(Taux,MATCH(D25,Equipe,0)),0)+N(L25))</f>
        <v>2450</v>
      </c>
      <c r="S25" s="23"/>
    </row>
    <row r="26" customFormat="false" ht="15" hidden="false" customHeight="true" outlineLevel="0" collapsed="false">
      <c r="A26" s="41" t="s">
        <v>248</v>
      </c>
      <c r="B26" s="42" t="str">
        <f aca="false">IF(A26="","",IFERROR(INDEX(Lot_nom,MATCH(LEFT(A26,FIND(".",A26&amp;".")-1)&amp;"",Lot_num,0)),"Unknown phase"))</f>
        <v>Production</v>
      </c>
      <c r="C26" s="23" t="s">
        <v>249</v>
      </c>
      <c r="D26" s="23" t="s">
        <v>90</v>
      </c>
      <c r="E26" s="43" t="n">
        <v>5</v>
      </c>
      <c r="F26" s="44" t="n">
        <v>1</v>
      </c>
      <c r="G26" s="45" t="n">
        <f aca="false">IF(C26="","",IF(K26="",0,K26*IF(F26="",1,F26)))</f>
        <v>5</v>
      </c>
      <c r="H26" s="46" t="n">
        <f aca="false">IF(C26="","",N(G26)*IFERROR(INDEX(Taux,MATCH(D26,Equipe,0)),0)+N(L26))</f>
        <v>1500</v>
      </c>
      <c r="I26" s="43"/>
      <c r="J26" s="43"/>
      <c r="K26" s="47" t="n">
        <f aca="false">IF(E26="","",IF(AND(I26&lt;&gt;"",J26&lt;&gt;""),ROUND((I26+4*E26+J26)/6,1),E26))</f>
        <v>5</v>
      </c>
      <c r="L26" s="24"/>
      <c r="M26" s="48" t="s">
        <v>197</v>
      </c>
      <c r="N26" s="49"/>
      <c r="O26" s="49"/>
      <c r="P26" s="47" t="n">
        <f aca="false">IF(OR(C26="",N(G26)=0),"",IF(O26="",MAX(G26,N(N26)),N(N26)+O26))</f>
        <v>5</v>
      </c>
      <c r="Q26" s="50" t="n">
        <f aca="false">IF(P26="","",P26-G26)</f>
        <v>0</v>
      </c>
      <c r="R26" s="46" t="n">
        <f aca="false">IF(C26="","",N(P26)*IFERROR(INDEX(Taux,MATCH(D26,Equipe,0)),0)+N(L26))</f>
        <v>1500</v>
      </c>
      <c r="S26" s="23"/>
    </row>
    <row r="27" customFormat="false" ht="15" hidden="false" customHeight="true" outlineLevel="0" collapsed="false">
      <c r="A27" s="41" t="s">
        <v>250</v>
      </c>
      <c r="B27" s="42" t="str">
        <f aca="false">IF(A27="","",IFERROR(INDEX(Lot_nom,MATCH(LEFT(A27,FIND(".",A27&amp;".")-1)&amp;"",Lot_num,0)),"Unknown phase"))</f>
        <v>Production</v>
      </c>
      <c r="C27" s="23" t="s">
        <v>251</v>
      </c>
      <c r="D27" s="23" t="s">
        <v>88</v>
      </c>
      <c r="E27" s="43" t="n">
        <v>5</v>
      </c>
      <c r="F27" s="44" t="n">
        <v>1</v>
      </c>
      <c r="G27" s="45" t="n">
        <f aca="false">IF(C27="","",IF(K27="",0,K27*IF(F27="",1,F27)))</f>
        <v>5</v>
      </c>
      <c r="H27" s="46" t="n">
        <f aca="false">IF(C27="","",N(G27)*IFERROR(INDEX(Taux,MATCH(D27,Equipe,0)),0)+N(L27))</f>
        <v>1750</v>
      </c>
      <c r="I27" s="43"/>
      <c r="J27" s="43"/>
      <c r="K27" s="47" t="n">
        <f aca="false">IF(E27="","",IF(AND(I27&lt;&gt;"",J27&lt;&gt;""),ROUND((I27+4*E27+J27)/6,1),E27))</f>
        <v>5</v>
      </c>
      <c r="L27" s="24"/>
      <c r="M27" s="48" t="s">
        <v>197</v>
      </c>
      <c r="N27" s="49"/>
      <c r="O27" s="49"/>
      <c r="P27" s="47" t="n">
        <f aca="false">IF(OR(C27="",N(G27)=0),"",IF(O27="",MAX(G27,N(N27)),N(N27)+O27))</f>
        <v>5</v>
      </c>
      <c r="Q27" s="50" t="n">
        <f aca="false">IF(P27="","",P27-G27)</f>
        <v>0</v>
      </c>
      <c r="R27" s="46" t="n">
        <f aca="false">IF(C27="","",N(P27)*IFERROR(INDEX(Taux,MATCH(D27,Equipe,0)),0)+N(L27))</f>
        <v>1750</v>
      </c>
      <c r="S27" s="23"/>
    </row>
    <row r="28" customFormat="false" ht="15" hidden="false" customHeight="true" outlineLevel="0" collapsed="false">
      <c r="A28" s="41" t="s">
        <v>252</v>
      </c>
      <c r="B28" s="42" t="str">
        <f aca="false">IF(A28="","",IFERROR(INDEX(Lot_nom,MATCH(LEFT(A28,FIND(".",A28&amp;".")-1)&amp;"",Lot_num,0)),"Unknown phase"))</f>
        <v>Production</v>
      </c>
      <c r="C28" s="23" t="s">
        <v>253</v>
      </c>
      <c r="D28" s="23" t="s">
        <v>95</v>
      </c>
      <c r="E28" s="43"/>
      <c r="F28" s="44" t="n">
        <v>4</v>
      </c>
      <c r="G28" s="45" t="n">
        <f aca="false">IF(C28="","",IF(K28="",0,K28*IF(F28="",1,F28)))</f>
        <v>0</v>
      </c>
      <c r="H28" s="46" t="n">
        <f aca="false">IF(C28="","",N(G28)*IFERROR(INDEX(Taux,MATCH(D28,Equipe,0)),0)+N(L28))</f>
        <v>2400</v>
      </c>
      <c r="I28" s="43"/>
      <c r="J28" s="43"/>
      <c r="K28" s="47" t="str">
        <f aca="false">IF(E28="","",IF(AND(I28&lt;&gt;"",J28&lt;&gt;""),ROUND((I28+4*E28+J28)/6,1),E28))</f>
        <v/>
      </c>
      <c r="L28" s="24" t="n">
        <v>2400</v>
      </c>
      <c r="M28" s="48" t="s">
        <v>197</v>
      </c>
      <c r="N28" s="49"/>
      <c r="O28" s="49"/>
      <c r="P28" s="47" t="str">
        <f aca="false">IF(OR(C28="",N(G28)=0),"",IF(O28="",MAX(G28,N(N28)),N(N28)+O28))</f>
        <v/>
      </c>
      <c r="Q28" s="50" t="str">
        <f aca="false">IF(P28="","",P28-G28)</f>
        <v/>
      </c>
      <c r="R28" s="46" t="n">
        <f aca="false">IF(C28="","",N(P28)*IFERROR(INDEX(Taux,MATCH(D28,Equipe,0)),0)+N(L28))</f>
        <v>2400</v>
      </c>
      <c r="S28" s="23" t="s">
        <v>254</v>
      </c>
    </row>
    <row r="29" customFormat="false" ht="15" hidden="false" customHeight="true" outlineLevel="0" collapsed="false">
      <c r="A29" s="41" t="s">
        <v>255</v>
      </c>
      <c r="B29" s="42" t="str">
        <f aca="false">IF(A29="","",IFERROR(INDEX(Lot_nom,MATCH(LEFT(A29,FIND(".",A29&amp;".")-1)&amp;"",Lot_num,0)),"Unknown phase"))</f>
        <v>Production</v>
      </c>
      <c r="C29" s="23" t="s">
        <v>256</v>
      </c>
      <c r="D29" s="23" t="s">
        <v>92</v>
      </c>
      <c r="E29" s="43" t="n">
        <v>4</v>
      </c>
      <c r="F29" s="44" t="n">
        <v>1</v>
      </c>
      <c r="G29" s="45" t="n">
        <f aca="false">IF(C29="","",IF(K29="",0,K29*IF(F29="",1,F29)))</f>
        <v>4</v>
      </c>
      <c r="H29" s="46" t="n">
        <f aca="false">IF(C29="","",N(G29)*IFERROR(INDEX(Taux,MATCH(D29,Equipe,0)),0)+N(L29))</f>
        <v>1450</v>
      </c>
      <c r="I29" s="43"/>
      <c r="J29" s="43"/>
      <c r="K29" s="47" t="n">
        <f aca="false">IF(E29="","",IF(AND(I29&lt;&gt;"",J29&lt;&gt;""),ROUND((I29+4*E29+J29)/6,1),E29))</f>
        <v>4</v>
      </c>
      <c r="L29" s="24" t="n">
        <v>250</v>
      </c>
      <c r="M29" s="48" t="s">
        <v>197</v>
      </c>
      <c r="N29" s="49"/>
      <c r="O29" s="49"/>
      <c r="P29" s="47" t="n">
        <f aca="false">IF(OR(C29="",N(G29)=0),"",IF(O29="",MAX(G29,N(N29)),N(N29)+O29))</f>
        <v>4</v>
      </c>
      <c r="Q29" s="50" t="n">
        <f aca="false">IF(P29="","",P29-G29)</f>
        <v>0</v>
      </c>
      <c r="R29" s="46" t="n">
        <f aca="false">IF(C29="","",N(P29)*IFERROR(INDEX(Taux,MATCH(D29,Equipe,0)),0)+N(L29))</f>
        <v>1450</v>
      </c>
      <c r="S29" s="23" t="s">
        <v>257</v>
      </c>
    </row>
    <row r="30" customFormat="false" ht="15" hidden="false" customHeight="true" outlineLevel="0" collapsed="false">
      <c r="A30" s="41" t="s">
        <v>258</v>
      </c>
      <c r="B30" s="42" t="str">
        <f aca="false">IF(A30="","",IFERROR(INDEX(Lot_nom,MATCH(LEFT(A30,FIND(".",A30&amp;".")-1)&amp;"",Lot_num,0)),"Unknown phase"))</f>
        <v>Next Fest demo</v>
      </c>
      <c r="C30" s="23" t="s">
        <v>259</v>
      </c>
      <c r="D30" s="23" t="s">
        <v>88</v>
      </c>
      <c r="E30" s="43" t="n">
        <v>7</v>
      </c>
      <c r="F30" s="44" t="n">
        <v>1</v>
      </c>
      <c r="G30" s="45" t="n">
        <f aca="false">IF(C30="","",IF(K30="",0,K30*IF(F30="",1,F30)))</f>
        <v>7</v>
      </c>
      <c r="H30" s="46" t="n">
        <f aca="false">IF(C30="","",N(G30)*IFERROR(INDEX(Taux,MATCH(D30,Equipe,0)),0)+N(L30))</f>
        <v>2450</v>
      </c>
      <c r="I30" s="43"/>
      <c r="J30" s="43"/>
      <c r="K30" s="47" t="n">
        <f aca="false">IF(E30="","",IF(AND(I30&lt;&gt;"",J30&lt;&gt;""),ROUND((I30+4*E30+J30)/6,1),E30))</f>
        <v>7</v>
      </c>
      <c r="L30" s="24"/>
      <c r="M30" s="48" t="s">
        <v>197</v>
      </c>
      <c r="N30" s="49"/>
      <c r="O30" s="49"/>
      <c r="P30" s="47" t="n">
        <f aca="false">IF(OR(C30="",N(G30)=0),"",IF(O30="",MAX(G30,N(N30)),N(N30)+O30))</f>
        <v>7</v>
      </c>
      <c r="Q30" s="50" t="n">
        <f aca="false">IF(P30="","",P30-G30)</f>
        <v>0</v>
      </c>
      <c r="R30" s="46" t="n">
        <f aca="false">IF(C30="","",N(P30)*IFERROR(INDEX(Taux,MATCH(D30,Equipe,0)),0)+N(L30))</f>
        <v>2450</v>
      </c>
      <c r="S30" s="23" t="s">
        <v>260</v>
      </c>
    </row>
    <row r="31" customFormat="false" ht="15" hidden="false" customHeight="true" outlineLevel="0" collapsed="false">
      <c r="A31" s="41" t="s">
        <v>261</v>
      </c>
      <c r="B31" s="42" t="str">
        <f aca="false">IF(A31="","",IFERROR(INDEX(Lot_nom,MATCH(LEFT(A31,FIND(".",A31&amp;".")-1)&amp;"",Lot_num,0)),"Unknown phase"))</f>
        <v>Next Fest demo</v>
      </c>
      <c r="C31" s="23" t="s">
        <v>262</v>
      </c>
      <c r="D31" s="23" t="s">
        <v>88</v>
      </c>
      <c r="E31" s="43" t="n">
        <v>1</v>
      </c>
      <c r="F31" s="44" t="n">
        <v>5</v>
      </c>
      <c r="G31" s="45" t="n">
        <f aca="false">IF(C31="","",IF(K31="",0,K31*IF(F31="",1,F31)))</f>
        <v>5</v>
      </c>
      <c r="H31" s="46" t="n">
        <f aca="false">IF(C31="","",N(G31)*IFERROR(INDEX(Taux,MATCH(D31,Equipe,0)),0)+N(L31))</f>
        <v>1750</v>
      </c>
      <c r="I31" s="43"/>
      <c r="J31" s="43"/>
      <c r="K31" s="47" t="n">
        <f aca="false">IF(E31="","",IF(AND(I31&lt;&gt;"",J31&lt;&gt;""),ROUND((I31+4*E31+J31)/6,1),E31))</f>
        <v>1</v>
      </c>
      <c r="L31" s="24"/>
      <c r="M31" s="48" t="s">
        <v>197</v>
      </c>
      <c r="N31" s="49"/>
      <c r="O31" s="49"/>
      <c r="P31" s="47" t="n">
        <f aca="false">IF(OR(C31="",N(G31)=0),"",IF(O31="",MAX(G31,N(N31)),N(N31)+O31))</f>
        <v>5</v>
      </c>
      <c r="Q31" s="50" t="n">
        <f aca="false">IF(P31="","",P31-G31)</f>
        <v>0</v>
      </c>
      <c r="R31" s="46" t="n">
        <f aca="false">IF(C31="","",N(P31)*IFERROR(INDEX(Taux,MATCH(D31,Equipe,0)),0)+N(L31))</f>
        <v>1750</v>
      </c>
      <c r="S31" s="23"/>
    </row>
    <row r="32" customFormat="false" ht="15" hidden="false" customHeight="true" outlineLevel="0" collapsed="false">
      <c r="A32" s="41" t="s">
        <v>263</v>
      </c>
      <c r="B32" s="42" t="str">
        <f aca="false">IF(A32="","",IFERROR(INDEX(Lot_nom,MATCH(LEFT(A32,FIND(".",A32&amp;".")-1)&amp;"",Lot_num,0)),"Unknown phase"))</f>
        <v>Next Fest demo</v>
      </c>
      <c r="C32" s="23" t="s">
        <v>264</v>
      </c>
      <c r="D32" s="23" t="s">
        <v>92</v>
      </c>
      <c r="E32" s="43" t="n">
        <v>6</v>
      </c>
      <c r="F32" s="44" t="n">
        <v>1</v>
      </c>
      <c r="G32" s="45" t="n">
        <f aca="false">IF(C32="","",IF(K32="",0,K32*IF(F32="",1,F32)))</f>
        <v>6</v>
      </c>
      <c r="H32" s="46" t="n">
        <f aca="false">IF(C32="","",N(G32)*IFERROR(INDEX(Taux,MATCH(D32,Equipe,0)),0)+N(L32))</f>
        <v>1800</v>
      </c>
      <c r="I32" s="43"/>
      <c r="J32" s="43"/>
      <c r="K32" s="47" t="n">
        <f aca="false">IF(E32="","",IF(AND(I32&lt;&gt;"",J32&lt;&gt;""),ROUND((I32+4*E32+J32)/6,1),E32))</f>
        <v>6</v>
      </c>
      <c r="L32" s="24"/>
      <c r="M32" s="48" t="s">
        <v>197</v>
      </c>
      <c r="N32" s="49"/>
      <c r="O32" s="49"/>
      <c r="P32" s="47" t="n">
        <f aca="false">IF(OR(C32="",N(G32)=0),"",IF(O32="",MAX(G32,N(N32)),N(N32)+O32))</f>
        <v>6</v>
      </c>
      <c r="Q32" s="50" t="n">
        <f aca="false">IF(P32="","",P32-G32)</f>
        <v>0</v>
      </c>
      <c r="R32" s="46" t="n">
        <f aca="false">IF(C32="","",N(P32)*IFERROR(INDEX(Taux,MATCH(D32,Equipe,0)),0)+N(L32))</f>
        <v>1800</v>
      </c>
      <c r="S32" s="23"/>
    </row>
    <row r="33" customFormat="false" ht="15" hidden="false" customHeight="true" outlineLevel="0" collapsed="false">
      <c r="A33" s="41" t="s">
        <v>265</v>
      </c>
      <c r="B33" s="42" t="str">
        <f aca="false">IF(A33="","",IFERROR(INDEX(Lot_nom,MATCH(LEFT(A33,FIND(".",A33&amp;".")-1)&amp;"",Lot_num,0)),"Unknown phase"))</f>
        <v>Next Fest demo</v>
      </c>
      <c r="C33" s="23" t="s">
        <v>266</v>
      </c>
      <c r="D33" s="23" t="s">
        <v>92</v>
      </c>
      <c r="E33" s="43" t="n">
        <v>1</v>
      </c>
      <c r="F33" s="44" t="n">
        <v>5</v>
      </c>
      <c r="G33" s="45" t="n">
        <f aca="false">IF(C33="","",IF(K33="",0,K33*IF(F33="",1,F33)))</f>
        <v>5</v>
      </c>
      <c r="H33" s="46" t="n">
        <f aca="false">IF(C33="","",N(G33)*IFERROR(INDEX(Taux,MATCH(D33,Equipe,0)),0)+N(L33))</f>
        <v>1500</v>
      </c>
      <c r="I33" s="43"/>
      <c r="J33" s="43"/>
      <c r="K33" s="47" t="n">
        <f aca="false">IF(E33="","",IF(AND(I33&lt;&gt;"",J33&lt;&gt;""),ROUND((I33+4*E33+J33)/6,1),E33))</f>
        <v>1</v>
      </c>
      <c r="L33" s="24"/>
      <c r="M33" s="48" t="s">
        <v>218</v>
      </c>
      <c r="N33" s="49"/>
      <c r="O33" s="49"/>
      <c r="P33" s="47" t="n">
        <f aca="false">IF(OR(C33="",N(G33)=0),"",IF(O33="",MAX(G33,N(N33)),N(N33)+O33))</f>
        <v>5</v>
      </c>
      <c r="Q33" s="50" t="n">
        <f aca="false">IF(P33="","",P33-G33)</f>
        <v>0</v>
      </c>
      <c r="R33" s="46" t="n">
        <f aca="false">IF(C33="","",N(P33)*IFERROR(INDEX(Taux,MATCH(D33,Equipe,0)),0)+N(L33))</f>
        <v>1500</v>
      </c>
      <c r="S33" s="23"/>
    </row>
    <row r="34" customFormat="false" ht="15" hidden="false" customHeight="true" outlineLevel="0" collapsed="false">
      <c r="A34" s="41" t="s">
        <v>267</v>
      </c>
      <c r="B34" s="42" t="str">
        <f aca="false">IF(A34="","",IFERROR(INDEX(Lot_nom,MATCH(LEFT(A34,FIND(".",A34&amp;".")-1)&amp;"",Lot_num,0)),"Unknown phase"))</f>
        <v>Next Fest demo</v>
      </c>
      <c r="C34" s="23" t="s">
        <v>268</v>
      </c>
      <c r="D34" s="23" t="s">
        <v>95</v>
      </c>
      <c r="E34" s="43"/>
      <c r="F34" s="44"/>
      <c r="G34" s="45" t="n">
        <f aca="false">IF(C34="","",IF(K34="",0,K34*IF(F34="",1,F34)))</f>
        <v>0</v>
      </c>
      <c r="H34" s="46" t="n">
        <f aca="false">IF(C34="","",N(G34)*IFERROR(INDEX(Taux,MATCH(D34,Equipe,0)),0)+N(L34))</f>
        <v>750</v>
      </c>
      <c r="I34" s="43"/>
      <c r="J34" s="43"/>
      <c r="K34" s="47" t="str">
        <f aca="false">IF(E34="","",IF(AND(I34&lt;&gt;"",J34&lt;&gt;""),ROUND((I34+4*E34+J34)/6,1),E34))</f>
        <v/>
      </c>
      <c r="L34" s="24" t="n">
        <v>750</v>
      </c>
      <c r="M34" s="48" t="s">
        <v>197</v>
      </c>
      <c r="N34" s="49"/>
      <c r="O34" s="49"/>
      <c r="P34" s="47" t="str">
        <f aca="false">IF(OR(C34="",N(G34)=0),"",IF(O34="",MAX(G34,N(N34)),N(N34)+O34))</f>
        <v/>
      </c>
      <c r="Q34" s="50" t="str">
        <f aca="false">IF(P34="","",P34-G34)</f>
        <v/>
      </c>
      <c r="R34" s="46" t="n">
        <f aca="false">IF(C34="","",N(P34)*IFERROR(INDEX(Taux,MATCH(D34,Equipe,0)),0)+N(L34))</f>
        <v>750</v>
      </c>
      <c r="S34" s="23" t="s">
        <v>269</v>
      </c>
    </row>
    <row r="35" customFormat="false" ht="15" hidden="false" customHeight="true" outlineLevel="0" collapsed="false">
      <c r="A35" s="41" t="s">
        <v>270</v>
      </c>
      <c r="B35" s="42" t="str">
        <f aca="false">IF(A35="","",IFERROR(INDEX(Lot_nom,MATCH(LEFT(A35,FIND(".",A35&amp;".")-1)&amp;"",Lot_num,0)),"Unknown phase"))</f>
        <v>Next Fest demo</v>
      </c>
      <c r="C35" s="23" t="s">
        <v>271</v>
      </c>
      <c r="D35" s="23" t="s">
        <v>90</v>
      </c>
      <c r="E35" s="43" t="n">
        <v>3</v>
      </c>
      <c r="F35" s="44" t="n">
        <v>1</v>
      </c>
      <c r="G35" s="45" t="n">
        <f aca="false">IF(C35="","",IF(K35="",0,K35*IF(F35="",1,F35)))</f>
        <v>3</v>
      </c>
      <c r="H35" s="46" t="n">
        <f aca="false">IF(C35="","",N(G35)*IFERROR(INDEX(Taux,MATCH(D35,Equipe,0)),0)+N(L35))</f>
        <v>900</v>
      </c>
      <c r="I35" s="43"/>
      <c r="J35" s="43"/>
      <c r="K35" s="47" t="n">
        <f aca="false">IF(E35="","",IF(AND(I35&lt;&gt;"",J35&lt;&gt;""),ROUND((I35+4*E35+J35)/6,1),E35))</f>
        <v>3</v>
      </c>
      <c r="L35" s="24"/>
      <c r="M35" s="48" t="s">
        <v>218</v>
      </c>
      <c r="N35" s="49"/>
      <c r="O35" s="49"/>
      <c r="P35" s="47" t="n">
        <f aca="false">IF(OR(C35="",N(G35)=0),"",IF(O35="",MAX(G35,N(N35)),N(N35)+O35))</f>
        <v>3</v>
      </c>
      <c r="Q35" s="50" t="n">
        <f aca="false">IF(P35="","",P35-G35)</f>
        <v>0</v>
      </c>
      <c r="R35" s="46" t="n">
        <f aca="false">IF(C35="","",N(P35)*IFERROR(INDEX(Taux,MATCH(D35,Equipe,0)),0)+N(L35))</f>
        <v>900</v>
      </c>
      <c r="S35" s="23"/>
    </row>
    <row r="36" customFormat="false" ht="15" hidden="false" customHeight="true" outlineLevel="0" collapsed="false">
      <c r="A36" s="41" t="s">
        <v>272</v>
      </c>
      <c r="B36" s="42" t="str">
        <f aca="false">IF(A36="","",IFERROR(INDEX(Lot_nom,MATCH(LEFT(A36,FIND(".",A36&amp;".")-1)&amp;"",Lot_num,0)),"Unknown phase"))</f>
        <v>Polish and release</v>
      </c>
      <c r="C36" s="23" t="s">
        <v>273</v>
      </c>
      <c r="D36" s="23" t="s">
        <v>88</v>
      </c>
      <c r="E36" s="43" t="n">
        <v>15</v>
      </c>
      <c r="F36" s="44" t="n">
        <v>1</v>
      </c>
      <c r="G36" s="45" t="n">
        <f aca="false">IF(C36="","",IF(K36="",0,K36*IF(F36="",1,F36)))</f>
        <v>16.3</v>
      </c>
      <c r="H36" s="46" t="n">
        <f aca="false">IF(C36="","",N(G36)*IFERROR(INDEX(Taux,MATCH(D36,Equipe,0)),0)+N(L36))</f>
        <v>5705</v>
      </c>
      <c r="I36" s="43" t="n">
        <v>8</v>
      </c>
      <c r="J36" s="43" t="n">
        <v>30</v>
      </c>
      <c r="K36" s="47" t="n">
        <f aca="false">IF(E36="","",IF(AND(I36&lt;&gt;"",J36&lt;&gt;""),ROUND((I36+4*E36+J36)/6,1),E36))</f>
        <v>16.3</v>
      </c>
      <c r="L36" s="24"/>
      <c r="M36" s="48" t="s">
        <v>197</v>
      </c>
      <c r="N36" s="49"/>
      <c r="O36" s="49"/>
      <c r="P36" s="47" t="n">
        <f aca="false">IF(OR(C36="",N(G36)=0),"",IF(O36="",MAX(G36,N(N36)),N(N36)+O36))</f>
        <v>16.3</v>
      </c>
      <c r="Q36" s="50" t="n">
        <f aca="false">IF(P36="","",P36-G36)</f>
        <v>0</v>
      </c>
      <c r="R36" s="46" t="n">
        <f aca="false">IF(C36="","",N(P36)*IFERROR(INDEX(Taux,MATCH(D36,Equipe,0)),0)+N(L36))</f>
        <v>5705</v>
      </c>
      <c r="S36" s="23"/>
    </row>
    <row r="37" customFormat="false" ht="15" hidden="false" customHeight="true" outlineLevel="0" collapsed="false">
      <c r="A37" s="41" t="s">
        <v>274</v>
      </c>
      <c r="B37" s="42" t="str">
        <f aca="false">IF(A37="","",IFERROR(INDEX(Lot_nom,MATCH(LEFT(A37,FIND(".",A37&amp;".")-1)&amp;"",Lot_num,0)),"Unknown phase"))</f>
        <v>Polish and release</v>
      </c>
      <c r="C37" s="23" t="s">
        <v>275</v>
      </c>
      <c r="D37" s="23" t="s">
        <v>88</v>
      </c>
      <c r="E37" s="43" t="n">
        <v>8</v>
      </c>
      <c r="F37" s="44" t="n">
        <v>1</v>
      </c>
      <c r="G37" s="45" t="n">
        <f aca="false">IF(C37="","",IF(K37="",0,K37*IF(F37="",1,F37)))</f>
        <v>8</v>
      </c>
      <c r="H37" s="46" t="n">
        <f aca="false">IF(C37="","",N(G37)*IFERROR(INDEX(Taux,MATCH(D37,Equipe,0)),0)+N(L37))</f>
        <v>2800</v>
      </c>
      <c r="I37" s="43"/>
      <c r="J37" s="43"/>
      <c r="K37" s="47" t="n">
        <f aca="false">IF(E37="","",IF(AND(I37&lt;&gt;"",J37&lt;&gt;""),ROUND((I37+4*E37+J37)/6,1),E37))</f>
        <v>8</v>
      </c>
      <c r="L37" s="24"/>
      <c r="M37" s="48" t="s">
        <v>197</v>
      </c>
      <c r="N37" s="49"/>
      <c r="O37" s="49"/>
      <c r="P37" s="47" t="n">
        <f aca="false">IF(OR(C37="",N(G37)=0),"",IF(O37="",MAX(G37,N(N37)),N(N37)+O37))</f>
        <v>8</v>
      </c>
      <c r="Q37" s="50" t="n">
        <f aca="false">IF(P37="","",P37-G37)</f>
        <v>0</v>
      </c>
      <c r="R37" s="46" t="n">
        <f aca="false">IF(C37="","",N(P37)*IFERROR(INDEX(Taux,MATCH(D37,Equipe,0)),0)+N(L37))</f>
        <v>2800</v>
      </c>
      <c r="S37" s="23"/>
    </row>
    <row r="38" customFormat="false" ht="15" hidden="false" customHeight="true" outlineLevel="0" collapsed="false">
      <c r="A38" s="41" t="s">
        <v>276</v>
      </c>
      <c r="B38" s="42" t="str">
        <f aca="false">IF(A38="","",IFERROR(INDEX(Lot_nom,MATCH(LEFT(A38,FIND(".",A38&amp;".")-1)&amp;"",Lot_num,0)),"Unknown phase"))</f>
        <v>Polish and release</v>
      </c>
      <c r="C38" s="23" t="s">
        <v>277</v>
      </c>
      <c r="D38" s="23" t="s">
        <v>88</v>
      </c>
      <c r="E38" s="43" t="n">
        <v>4</v>
      </c>
      <c r="F38" s="44" t="n">
        <v>1</v>
      </c>
      <c r="G38" s="45" t="n">
        <f aca="false">IF(C38="","",IF(K38="",0,K38*IF(F38="",1,F38)))</f>
        <v>4</v>
      </c>
      <c r="H38" s="46" t="n">
        <f aca="false">IF(C38="","",N(G38)*IFERROR(INDEX(Taux,MATCH(D38,Equipe,0)),0)+N(L38))</f>
        <v>1400</v>
      </c>
      <c r="I38" s="43"/>
      <c r="J38" s="43"/>
      <c r="K38" s="47" t="n">
        <f aca="false">IF(E38="","",IF(AND(I38&lt;&gt;"",J38&lt;&gt;""),ROUND((I38+4*E38+J38)/6,1),E38))</f>
        <v>4</v>
      </c>
      <c r="L38" s="24"/>
      <c r="M38" s="48" t="s">
        <v>197</v>
      </c>
      <c r="N38" s="49"/>
      <c r="O38" s="49"/>
      <c r="P38" s="47" t="n">
        <f aca="false">IF(OR(C38="",N(G38)=0),"",IF(O38="",MAX(G38,N(N38)),N(N38)+O38))</f>
        <v>4</v>
      </c>
      <c r="Q38" s="50" t="n">
        <f aca="false">IF(P38="","",P38-G38)</f>
        <v>0</v>
      </c>
      <c r="R38" s="46" t="n">
        <f aca="false">IF(C38="","",N(P38)*IFERROR(INDEX(Taux,MATCH(D38,Equipe,0)),0)+N(L38))</f>
        <v>1400</v>
      </c>
      <c r="S38" s="23" t="s">
        <v>278</v>
      </c>
    </row>
    <row r="39" customFormat="false" ht="15" hidden="false" customHeight="true" outlineLevel="0" collapsed="false">
      <c r="A39" s="41" t="s">
        <v>279</v>
      </c>
      <c r="B39" s="42" t="str">
        <f aca="false">IF(A39="","",IFERROR(INDEX(Lot_nom,MATCH(LEFT(A39,FIND(".",A39&amp;".")-1)&amp;"",Lot_num,0)),"Unknown phase"))</f>
        <v>Polish and release</v>
      </c>
      <c r="C39" s="23" t="s">
        <v>280</v>
      </c>
      <c r="D39" s="23" t="s">
        <v>88</v>
      </c>
      <c r="E39" s="43" t="n">
        <v>3</v>
      </c>
      <c r="F39" s="44" t="n">
        <v>1</v>
      </c>
      <c r="G39" s="45" t="n">
        <f aca="false">IF(C39="","",IF(K39="",0,K39*IF(F39="",1,F39)))</f>
        <v>3</v>
      </c>
      <c r="H39" s="46" t="n">
        <f aca="false">IF(C39="","",N(G39)*IFERROR(INDEX(Taux,MATCH(D39,Equipe,0)),0)+N(L39))</f>
        <v>1140</v>
      </c>
      <c r="I39" s="43"/>
      <c r="J39" s="43"/>
      <c r="K39" s="47" t="n">
        <f aca="false">IF(E39="","",IF(AND(I39&lt;&gt;"",J39&lt;&gt;""),ROUND((I39+4*E39+J39)/6,1),E39))</f>
        <v>3</v>
      </c>
      <c r="L39" s="24" t="n">
        <v>90</v>
      </c>
      <c r="M39" s="48" t="s">
        <v>197</v>
      </c>
      <c r="N39" s="49"/>
      <c r="O39" s="49"/>
      <c r="P39" s="47" t="n">
        <f aca="false">IF(OR(C39="",N(G39)=0),"",IF(O39="",MAX(G39,N(N39)),N(N39)+O39))</f>
        <v>3</v>
      </c>
      <c r="Q39" s="50" t="n">
        <f aca="false">IF(P39="","",P39-G39)</f>
        <v>0</v>
      </c>
      <c r="R39" s="46" t="n">
        <f aca="false">IF(C39="","",N(P39)*IFERROR(INDEX(Taux,MATCH(D39,Equipe,0)),0)+N(L39))</f>
        <v>1140</v>
      </c>
      <c r="S39" s="23" t="s">
        <v>281</v>
      </c>
    </row>
    <row r="40" customFormat="false" ht="15" hidden="false" customHeight="true" outlineLevel="0" collapsed="false">
      <c r="A40" s="41" t="s">
        <v>282</v>
      </c>
      <c r="B40" s="42" t="str">
        <f aca="false">IF(A40="","",IFERROR(INDEX(Lot_nom,MATCH(LEFT(A40,FIND(".",A40&amp;".")-1)&amp;"",Lot_num,0)),"Unknown phase"))</f>
        <v>Polish and release</v>
      </c>
      <c r="C40" s="23" t="s">
        <v>283</v>
      </c>
      <c r="D40" s="23" t="s">
        <v>90</v>
      </c>
      <c r="E40" s="43" t="n">
        <v>18</v>
      </c>
      <c r="F40" s="44" t="n">
        <v>1</v>
      </c>
      <c r="G40" s="45" t="n">
        <f aca="false">IF(C40="","",IF(K40="",0,K40*IF(F40="",1,F40)))</f>
        <v>18</v>
      </c>
      <c r="H40" s="46" t="n">
        <f aca="false">IF(C40="","",N(G40)*IFERROR(INDEX(Taux,MATCH(D40,Equipe,0)),0)+N(L40))</f>
        <v>5400</v>
      </c>
      <c r="I40" s="43"/>
      <c r="J40" s="43"/>
      <c r="K40" s="47" t="n">
        <f aca="false">IF(E40="","",IF(AND(I40&lt;&gt;"",J40&lt;&gt;""),ROUND((I40+4*E40+J40)/6,1),E40))</f>
        <v>18</v>
      </c>
      <c r="L40" s="24"/>
      <c r="M40" s="48" t="s">
        <v>197</v>
      </c>
      <c r="N40" s="49"/>
      <c r="O40" s="49"/>
      <c r="P40" s="47" t="n">
        <f aca="false">IF(OR(C40="",N(G40)=0),"",IF(O40="",MAX(G40,N(N40)),N(N40)+O40))</f>
        <v>18</v>
      </c>
      <c r="Q40" s="50" t="n">
        <f aca="false">IF(P40="","",P40-G40)</f>
        <v>0</v>
      </c>
      <c r="R40" s="46" t="n">
        <f aca="false">IF(C40="","",N(P40)*IFERROR(INDEX(Taux,MATCH(D40,Equipe,0)),0)+N(L40))</f>
        <v>5400</v>
      </c>
      <c r="S40" s="23"/>
    </row>
    <row r="41" customFormat="false" ht="15" hidden="false" customHeight="true" outlineLevel="0" collapsed="false">
      <c r="A41" s="41" t="s">
        <v>284</v>
      </c>
      <c r="B41" s="42" t="str">
        <f aca="false">IF(A41="","",IFERROR(INDEX(Lot_nom,MATCH(LEFT(A41,FIND(".",A41&amp;".")-1)&amp;"",Lot_num,0)),"Unknown phase"))</f>
        <v>Polish and release</v>
      </c>
      <c r="C41" s="23" t="s">
        <v>285</v>
      </c>
      <c r="D41" s="23" t="s">
        <v>90</v>
      </c>
      <c r="E41" s="43" t="n">
        <v>8</v>
      </c>
      <c r="F41" s="44" t="n">
        <v>1</v>
      </c>
      <c r="G41" s="45" t="n">
        <f aca="false">IF(C41="","",IF(K41="",0,K41*IF(F41="",1,F41)))</f>
        <v>8</v>
      </c>
      <c r="H41" s="46" t="n">
        <f aca="false">IF(C41="","",N(G41)*IFERROR(INDEX(Taux,MATCH(D41,Equipe,0)),0)+N(L41))</f>
        <v>2400</v>
      </c>
      <c r="I41" s="43"/>
      <c r="J41" s="43"/>
      <c r="K41" s="47" t="n">
        <f aca="false">IF(E41="","",IF(AND(I41&lt;&gt;"",J41&lt;&gt;""),ROUND((I41+4*E41+J41)/6,1),E41))</f>
        <v>8</v>
      </c>
      <c r="L41" s="24"/>
      <c r="M41" s="48" t="s">
        <v>218</v>
      </c>
      <c r="N41" s="49"/>
      <c r="O41" s="49"/>
      <c r="P41" s="47" t="n">
        <f aca="false">IF(OR(C41="",N(G41)=0),"",IF(O41="",MAX(G41,N(N41)),N(N41)+O41))</f>
        <v>8</v>
      </c>
      <c r="Q41" s="50" t="n">
        <f aca="false">IF(P41="","",P41-G41)</f>
        <v>0</v>
      </c>
      <c r="R41" s="46" t="n">
        <f aca="false">IF(C41="","",N(P41)*IFERROR(INDEX(Taux,MATCH(D41,Equipe,0)),0)+N(L41))</f>
        <v>2400</v>
      </c>
      <c r="S41" s="23"/>
    </row>
    <row r="42" customFormat="false" ht="15" hidden="false" customHeight="true" outlineLevel="0" collapsed="false">
      <c r="A42" s="41" t="s">
        <v>286</v>
      </c>
      <c r="B42" s="42" t="str">
        <f aca="false">IF(A42="","",IFERROR(INDEX(Lot_nom,MATCH(LEFT(A42,FIND(".",A42&amp;".")-1)&amp;"",Lot_num,0)),"Unknown phase"))</f>
        <v>Polish and release</v>
      </c>
      <c r="C42" s="23" t="s">
        <v>287</v>
      </c>
      <c r="D42" s="23" t="s">
        <v>92</v>
      </c>
      <c r="E42" s="43" t="n">
        <v>3</v>
      </c>
      <c r="F42" s="44" t="n">
        <v>1</v>
      </c>
      <c r="G42" s="45" t="n">
        <f aca="false">IF(C42="","",IF(K42="",0,K42*IF(F42="",1,F42)))</f>
        <v>3</v>
      </c>
      <c r="H42" s="46" t="n">
        <f aca="false">IF(C42="","",N(G42)*IFERROR(INDEX(Taux,MATCH(D42,Equipe,0)),0)+N(L42))</f>
        <v>3300</v>
      </c>
      <c r="I42" s="43"/>
      <c r="J42" s="43"/>
      <c r="K42" s="47" t="n">
        <f aca="false">IF(E42="","",IF(AND(I42&lt;&gt;"",J42&lt;&gt;""),ROUND((I42+4*E42+J42)/6,1),E42))</f>
        <v>3</v>
      </c>
      <c r="L42" s="24" t="n">
        <v>2400</v>
      </c>
      <c r="M42" s="48" t="s">
        <v>197</v>
      </c>
      <c r="N42" s="49"/>
      <c r="O42" s="49"/>
      <c r="P42" s="47" t="n">
        <f aca="false">IF(OR(C42="",N(G42)=0),"",IF(O42="",MAX(G42,N(N42)),N(N42)+O42))</f>
        <v>3</v>
      </c>
      <c r="Q42" s="50" t="n">
        <f aca="false">IF(P42="","",P42-G42)</f>
        <v>0</v>
      </c>
      <c r="R42" s="46" t="n">
        <f aca="false">IF(C42="","",N(P42)*IFERROR(INDEX(Taux,MATCH(D42,Equipe,0)),0)+N(L42))</f>
        <v>3300</v>
      </c>
      <c r="S42" s="23" t="s">
        <v>288</v>
      </c>
    </row>
    <row r="43" customFormat="false" ht="15" hidden="false" customHeight="true" outlineLevel="0" collapsed="false">
      <c r="A43" s="41" t="s">
        <v>289</v>
      </c>
      <c r="B43" s="42" t="str">
        <f aca="false">IF(A43="","",IFERROR(INDEX(Lot_nom,MATCH(LEFT(A43,FIND(".",A43&amp;".")-1)&amp;"",Lot_num,0)),"Unknown phase"))</f>
        <v>Polish and release</v>
      </c>
      <c r="C43" s="23" t="s">
        <v>290</v>
      </c>
      <c r="D43" s="23" t="s">
        <v>92</v>
      </c>
      <c r="E43" s="43" t="n">
        <v>10</v>
      </c>
      <c r="F43" s="44" t="n">
        <v>1</v>
      </c>
      <c r="G43" s="45" t="n">
        <f aca="false">IF(C43="","",IF(K43="",0,K43*IF(F43="",1,F43)))</f>
        <v>10</v>
      </c>
      <c r="H43" s="46" t="n">
        <f aca="false">IF(C43="","",N(G43)*IFERROR(INDEX(Taux,MATCH(D43,Equipe,0)),0)+N(L43))</f>
        <v>3000</v>
      </c>
      <c r="I43" s="43"/>
      <c r="J43" s="43"/>
      <c r="K43" s="47" t="n">
        <f aca="false">IF(E43="","",IF(AND(I43&lt;&gt;"",J43&lt;&gt;""),ROUND((I43+4*E43+J43)/6,1),E43))</f>
        <v>10</v>
      </c>
      <c r="L43" s="24"/>
      <c r="M43" s="48" t="s">
        <v>197</v>
      </c>
      <c r="N43" s="49"/>
      <c r="O43" s="49"/>
      <c r="P43" s="47" t="n">
        <f aca="false">IF(OR(C43="",N(G43)=0),"",IF(O43="",MAX(G43,N(N43)),N(N43)+O43))</f>
        <v>10</v>
      </c>
      <c r="Q43" s="50" t="n">
        <f aca="false">IF(P43="","",P43-G43)</f>
        <v>0</v>
      </c>
      <c r="R43" s="46" t="n">
        <f aca="false">IF(C43="","",N(P43)*IFERROR(INDEX(Taux,MATCH(D43,Equipe,0)),0)+N(L43))</f>
        <v>3000</v>
      </c>
      <c r="S43" s="23"/>
    </row>
    <row r="44" customFormat="false" ht="15" hidden="false" customHeight="true" outlineLevel="0" collapsed="false">
      <c r="A44" s="41" t="s">
        <v>291</v>
      </c>
      <c r="B44" s="42" t="str">
        <f aca="false">IF(A44="","",IFERROR(INDEX(Lot_nom,MATCH(LEFT(A44,FIND(".",A44&amp;".")-1)&amp;"",Lot_num,0)),"Unknown phase"))</f>
        <v>Polish and release</v>
      </c>
      <c r="C44" s="23" t="s">
        <v>292</v>
      </c>
      <c r="D44" s="23" t="s">
        <v>92</v>
      </c>
      <c r="E44" s="43" t="n">
        <v>5</v>
      </c>
      <c r="F44" s="44" t="n">
        <v>1</v>
      </c>
      <c r="G44" s="45" t="n">
        <f aca="false">IF(C44="","",IF(K44="",0,K44*IF(F44="",1,F44)))</f>
        <v>5</v>
      </c>
      <c r="H44" s="46" t="n">
        <f aca="false">IF(C44="","",N(G44)*IFERROR(INDEX(Taux,MATCH(D44,Equipe,0)),0)+N(L44))</f>
        <v>1500</v>
      </c>
      <c r="I44" s="43"/>
      <c r="J44" s="43"/>
      <c r="K44" s="47" t="n">
        <f aca="false">IF(E44="","",IF(AND(I44&lt;&gt;"",J44&lt;&gt;""),ROUND((I44+4*E44+J44)/6,1),E44))</f>
        <v>5</v>
      </c>
      <c r="L44" s="24"/>
      <c r="M44" s="48" t="s">
        <v>197</v>
      </c>
      <c r="N44" s="49"/>
      <c r="O44" s="49"/>
      <c r="P44" s="47" t="n">
        <f aca="false">IF(OR(C44="",N(G44)=0),"",IF(O44="",MAX(G44,N(N44)),N(N44)+O44))</f>
        <v>5</v>
      </c>
      <c r="Q44" s="50" t="n">
        <f aca="false">IF(P44="","",P44-G44)</f>
        <v>0</v>
      </c>
      <c r="R44" s="46" t="n">
        <f aca="false">IF(C44="","",N(P44)*IFERROR(INDEX(Taux,MATCH(D44,Equipe,0)),0)+N(L44))</f>
        <v>1500</v>
      </c>
      <c r="S44" s="23"/>
    </row>
    <row r="45" customFormat="false" ht="15" hidden="false" customHeight="true" outlineLevel="0" collapsed="false">
      <c r="A45" s="41" t="s">
        <v>293</v>
      </c>
      <c r="B45" s="42" t="str">
        <f aca="false">IF(A45="","",IFERROR(INDEX(Lot_nom,MATCH(LEFT(A45,FIND(".",A45&amp;".")-1)&amp;"",Lot_num,0)),"Unknown phase"))</f>
        <v>Marketing</v>
      </c>
      <c r="C45" s="23" t="s">
        <v>294</v>
      </c>
      <c r="D45" s="23" t="s">
        <v>92</v>
      </c>
      <c r="E45" s="43" t="n">
        <v>1</v>
      </c>
      <c r="F45" s="44" t="n">
        <v>12</v>
      </c>
      <c r="G45" s="45" t="n">
        <f aca="false">IF(C45="","",IF(K45="",0,K45*IF(F45="",1,F45)))</f>
        <v>12</v>
      </c>
      <c r="H45" s="46" t="n">
        <f aca="false">IF(C45="","",N(G45)*IFERROR(INDEX(Taux,MATCH(D45,Equipe,0)),0)+N(L45))</f>
        <v>3600</v>
      </c>
      <c r="I45" s="43"/>
      <c r="J45" s="43"/>
      <c r="K45" s="47" t="n">
        <f aca="false">IF(E45="","",IF(AND(I45&lt;&gt;"",J45&lt;&gt;""),ROUND((I45+4*E45+J45)/6,1),E45))</f>
        <v>1</v>
      </c>
      <c r="L45" s="24"/>
      <c r="M45" s="48" t="s">
        <v>218</v>
      </c>
      <c r="N45" s="49"/>
      <c r="O45" s="49"/>
      <c r="P45" s="47" t="n">
        <f aca="false">IF(OR(C45="",N(G45)=0),"",IF(O45="",MAX(G45,N(N45)),N(N45)+O45))</f>
        <v>12</v>
      </c>
      <c r="Q45" s="50" t="n">
        <f aca="false">IF(P45="","",P45-G45)</f>
        <v>0</v>
      </c>
      <c r="R45" s="46" t="n">
        <f aca="false">IF(C45="","",N(P45)*IFERROR(INDEX(Taux,MATCH(D45,Equipe,0)),0)+N(L45))</f>
        <v>3600</v>
      </c>
      <c r="S45" s="23" t="s">
        <v>295</v>
      </c>
    </row>
    <row r="46" customFormat="false" ht="15" hidden="false" customHeight="true" outlineLevel="0" collapsed="false">
      <c r="A46" s="41" t="s">
        <v>296</v>
      </c>
      <c r="B46" s="42" t="str">
        <f aca="false">IF(A46="","",IFERROR(INDEX(Lot_nom,MATCH(LEFT(A46,FIND(".",A46&amp;".")-1)&amp;"",Lot_num,0)),"Unknown phase"))</f>
        <v>Marketing</v>
      </c>
      <c r="C46" s="23" t="s">
        <v>297</v>
      </c>
      <c r="D46" s="23" t="s">
        <v>92</v>
      </c>
      <c r="E46" s="43" t="n">
        <v>4</v>
      </c>
      <c r="F46" s="44" t="n">
        <v>1</v>
      </c>
      <c r="G46" s="45" t="n">
        <f aca="false">IF(C46="","",IF(K46="",0,K46*IF(F46="",1,F46)))</f>
        <v>4</v>
      </c>
      <c r="H46" s="46" t="n">
        <f aca="false">IF(C46="","",N(G46)*IFERROR(INDEX(Taux,MATCH(D46,Equipe,0)),0)+N(L46))</f>
        <v>1200</v>
      </c>
      <c r="I46" s="43"/>
      <c r="J46" s="43"/>
      <c r="K46" s="47" t="n">
        <f aca="false">IF(E46="","",IF(AND(I46&lt;&gt;"",J46&lt;&gt;""),ROUND((I46+4*E46+J46)/6,1),E46))</f>
        <v>4</v>
      </c>
      <c r="L46" s="24"/>
      <c r="M46" s="48" t="s">
        <v>218</v>
      </c>
      <c r="N46" s="49"/>
      <c r="O46" s="49"/>
      <c r="P46" s="47" t="n">
        <f aca="false">IF(OR(C46="",N(G46)=0),"",IF(O46="",MAX(G46,N(N46)),N(N46)+O46))</f>
        <v>4</v>
      </c>
      <c r="Q46" s="50" t="n">
        <f aca="false">IF(P46="","",P46-G46)</f>
        <v>0</v>
      </c>
      <c r="R46" s="46" t="n">
        <f aca="false">IF(C46="","",N(P46)*IFERROR(INDEX(Taux,MATCH(D46,Equipe,0)),0)+N(L46))</f>
        <v>1200</v>
      </c>
      <c r="S46" s="23"/>
    </row>
    <row r="47" customFormat="false" ht="15" hidden="false" customHeight="true" outlineLevel="0" collapsed="false">
      <c r="A47" s="41" t="s">
        <v>298</v>
      </c>
      <c r="B47" s="42" t="str">
        <f aca="false">IF(A47="","",IFERROR(INDEX(Lot_nom,MATCH(LEFT(A47,FIND(".",A47&amp;".")-1)&amp;"",Lot_num,0)),"Unknown phase"))</f>
        <v>Marketing</v>
      </c>
      <c r="C47" s="23" t="s">
        <v>299</v>
      </c>
      <c r="D47" s="23" t="s">
        <v>90</v>
      </c>
      <c r="E47" s="43" t="n">
        <v>2</v>
      </c>
      <c r="F47" s="44" t="n">
        <v>1</v>
      </c>
      <c r="G47" s="45" t="n">
        <f aca="false">IF(C47="","",IF(K47="",0,K47*IF(F47="",1,F47)))</f>
        <v>2</v>
      </c>
      <c r="H47" s="46" t="n">
        <f aca="false">IF(C47="","",N(G47)*IFERROR(INDEX(Taux,MATCH(D47,Equipe,0)),0)+N(L47))</f>
        <v>600</v>
      </c>
      <c r="I47" s="43"/>
      <c r="J47" s="43"/>
      <c r="K47" s="47" t="n">
        <f aca="false">IF(E47="","",IF(AND(I47&lt;&gt;"",J47&lt;&gt;""),ROUND((I47+4*E47+J47)/6,1),E47))</f>
        <v>2</v>
      </c>
      <c r="L47" s="24"/>
      <c r="M47" s="48" t="s">
        <v>218</v>
      </c>
      <c r="N47" s="49"/>
      <c r="O47" s="49"/>
      <c r="P47" s="47" t="n">
        <f aca="false">IF(OR(C47="",N(G47)=0),"",IF(O47="",MAX(G47,N(N47)),N(N47)+O47))</f>
        <v>2</v>
      </c>
      <c r="Q47" s="50" t="n">
        <f aca="false">IF(P47="","",P47-G47)</f>
        <v>0</v>
      </c>
      <c r="R47" s="46" t="n">
        <f aca="false">IF(C47="","",N(P47)*IFERROR(INDEX(Taux,MATCH(D47,Equipe,0)),0)+N(L47))</f>
        <v>600</v>
      </c>
      <c r="S47" s="23"/>
    </row>
    <row r="48" customFormat="false" ht="15" hidden="false" customHeight="true" outlineLevel="0" collapsed="false">
      <c r="A48" s="41"/>
      <c r="B48" s="42" t="str">
        <f aca="false">IF(A48="","",IFERROR(INDEX(Lot_nom,MATCH(LEFT(A48,FIND(".",A48&amp;".")-1)&amp;"",Lot_num,0)),"Unknown phase"))</f>
        <v/>
      </c>
      <c r="C48" s="23"/>
      <c r="D48" s="23"/>
      <c r="E48" s="43"/>
      <c r="F48" s="44"/>
      <c r="G48" s="45" t="str">
        <f aca="false">IF(C48="","",IF(K48="",0,K48*IF(F48="",1,F48)))</f>
        <v/>
      </c>
      <c r="H48" s="46" t="str">
        <f aca="false">IF(C48="","",N(G48)*IFERROR(INDEX(Taux,MATCH(D48,Equipe,0)),0)+N(L48))</f>
        <v/>
      </c>
      <c r="I48" s="43"/>
      <c r="J48" s="43"/>
      <c r="K48" s="47" t="str">
        <f aca="false">IF(E48="","",IF(AND(I48&lt;&gt;"",J48&lt;&gt;""),ROUND((I48+4*E48+J48)/6,1),E48))</f>
        <v/>
      </c>
      <c r="L48" s="24"/>
      <c r="M48" s="48"/>
      <c r="N48" s="49"/>
      <c r="O48" s="49"/>
      <c r="P48" s="47" t="str">
        <f aca="false">IF(OR(C48="",N(G48)=0),"",IF(O48="",MAX(G48,N(N48)),N(N48)+O48))</f>
        <v/>
      </c>
      <c r="Q48" s="50" t="str">
        <f aca="false">IF(P48="","",P48-G48)</f>
        <v/>
      </c>
      <c r="R48" s="46" t="str">
        <f aca="false">IF(C48="","",N(P48)*IFERROR(INDEX(Taux,MATCH(D48,Equipe,0)),0)+N(L48))</f>
        <v/>
      </c>
      <c r="S48" s="23"/>
    </row>
    <row r="49" customFormat="false" ht="15" hidden="false" customHeight="true" outlineLevel="0" collapsed="false">
      <c r="A49" s="41"/>
      <c r="B49" s="42" t="str">
        <f aca="false">IF(A49="","",IFERROR(INDEX(Lot_nom,MATCH(LEFT(A49,FIND(".",A49&amp;".")-1)&amp;"",Lot_num,0)),"Unknown phase"))</f>
        <v/>
      </c>
      <c r="C49" s="23"/>
      <c r="D49" s="23"/>
      <c r="E49" s="43"/>
      <c r="F49" s="44"/>
      <c r="G49" s="45" t="str">
        <f aca="false">IF(C49="","",IF(K49="",0,K49*IF(F49="",1,F49)))</f>
        <v/>
      </c>
      <c r="H49" s="46" t="str">
        <f aca="false">IF(C49="","",N(G49)*IFERROR(INDEX(Taux,MATCH(D49,Equipe,0)),0)+N(L49))</f>
        <v/>
      </c>
      <c r="I49" s="43"/>
      <c r="J49" s="43"/>
      <c r="K49" s="47" t="str">
        <f aca="false">IF(E49="","",IF(AND(I49&lt;&gt;"",J49&lt;&gt;""),ROUND((I49+4*E49+J49)/6,1),E49))</f>
        <v/>
      </c>
      <c r="L49" s="24"/>
      <c r="M49" s="48"/>
      <c r="N49" s="49"/>
      <c r="O49" s="49"/>
      <c r="P49" s="47" t="str">
        <f aca="false">IF(OR(C49="",N(G49)=0),"",IF(O49="",MAX(G49,N(N49)),N(N49)+O49))</f>
        <v/>
      </c>
      <c r="Q49" s="50" t="str">
        <f aca="false">IF(P49="","",P49-G49)</f>
        <v/>
      </c>
      <c r="R49" s="46" t="str">
        <f aca="false">IF(C49="","",N(P49)*IFERROR(INDEX(Taux,MATCH(D49,Equipe,0)),0)+N(L49))</f>
        <v/>
      </c>
      <c r="S49" s="23"/>
    </row>
    <row r="50" customFormat="false" ht="15" hidden="false" customHeight="true" outlineLevel="0" collapsed="false">
      <c r="A50" s="41"/>
      <c r="B50" s="42" t="str">
        <f aca="false">IF(A50="","",IFERROR(INDEX(Lot_nom,MATCH(LEFT(A50,FIND(".",A50&amp;".")-1)&amp;"",Lot_num,0)),"Unknown phase"))</f>
        <v/>
      </c>
      <c r="C50" s="23"/>
      <c r="D50" s="23"/>
      <c r="E50" s="43"/>
      <c r="F50" s="44"/>
      <c r="G50" s="45" t="str">
        <f aca="false">IF(C50="","",IF(K50="",0,K50*IF(F50="",1,F50)))</f>
        <v/>
      </c>
      <c r="H50" s="46" t="str">
        <f aca="false">IF(C50="","",N(G50)*IFERROR(INDEX(Taux,MATCH(D50,Equipe,0)),0)+N(L50))</f>
        <v/>
      </c>
      <c r="I50" s="43"/>
      <c r="J50" s="43"/>
      <c r="K50" s="47" t="str">
        <f aca="false">IF(E50="","",IF(AND(I50&lt;&gt;"",J50&lt;&gt;""),ROUND((I50+4*E50+J50)/6,1),E50))</f>
        <v/>
      </c>
      <c r="L50" s="24"/>
      <c r="M50" s="48"/>
      <c r="N50" s="49"/>
      <c r="O50" s="49"/>
      <c r="P50" s="47" t="str">
        <f aca="false">IF(OR(C50="",N(G50)=0),"",IF(O50="",MAX(G50,N(N50)),N(N50)+O50))</f>
        <v/>
      </c>
      <c r="Q50" s="50" t="str">
        <f aca="false">IF(P50="","",P50-G50)</f>
        <v/>
      </c>
      <c r="R50" s="46" t="str">
        <f aca="false">IF(C50="","",N(P50)*IFERROR(INDEX(Taux,MATCH(D50,Equipe,0)),0)+N(L50))</f>
        <v/>
      </c>
      <c r="S50" s="23"/>
    </row>
    <row r="51" customFormat="false" ht="15" hidden="false" customHeight="true" outlineLevel="0" collapsed="false">
      <c r="A51" s="41"/>
      <c r="B51" s="42" t="str">
        <f aca="false">IF(A51="","",IFERROR(INDEX(Lot_nom,MATCH(LEFT(A51,FIND(".",A51&amp;".")-1)&amp;"",Lot_num,0)),"Unknown phase"))</f>
        <v/>
      </c>
      <c r="C51" s="23"/>
      <c r="D51" s="23"/>
      <c r="E51" s="43"/>
      <c r="F51" s="44"/>
      <c r="G51" s="45" t="str">
        <f aca="false">IF(C51="","",IF(K51="",0,K51*IF(F51="",1,F51)))</f>
        <v/>
      </c>
      <c r="H51" s="46" t="str">
        <f aca="false">IF(C51="","",N(G51)*IFERROR(INDEX(Taux,MATCH(D51,Equipe,0)),0)+N(L51))</f>
        <v/>
      </c>
      <c r="I51" s="43"/>
      <c r="J51" s="43"/>
      <c r="K51" s="47" t="str">
        <f aca="false">IF(E51="","",IF(AND(I51&lt;&gt;"",J51&lt;&gt;""),ROUND((I51+4*E51+J51)/6,1),E51))</f>
        <v/>
      </c>
      <c r="L51" s="24"/>
      <c r="M51" s="48"/>
      <c r="N51" s="49"/>
      <c r="O51" s="49"/>
      <c r="P51" s="47" t="str">
        <f aca="false">IF(OR(C51="",N(G51)=0),"",IF(O51="",MAX(G51,N(N51)),N(N51)+O51))</f>
        <v/>
      </c>
      <c r="Q51" s="50" t="str">
        <f aca="false">IF(P51="","",P51-G51)</f>
        <v/>
      </c>
      <c r="R51" s="46" t="str">
        <f aca="false">IF(C51="","",N(P51)*IFERROR(INDEX(Taux,MATCH(D51,Equipe,0)),0)+N(L51))</f>
        <v/>
      </c>
      <c r="S51" s="23"/>
    </row>
    <row r="52" customFormat="false" ht="15" hidden="false" customHeight="true" outlineLevel="0" collapsed="false">
      <c r="A52" s="41"/>
      <c r="B52" s="42" t="str">
        <f aca="false">IF(A52="","",IFERROR(INDEX(Lot_nom,MATCH(LEFT(A52,FIND(".",A52&amp;".")-1)&amp;"",Lot_num,0)),"Unknown phase"))</f>
        <v/>
      </c>
      <c r="C52" s="23"/>
      <c r="D52" s="23"/>
      <c r="E52" s="43"/>
      <c r="F52" s="44"/>
      <c r="G52" s="45" t="str">
        <f aca="false">IF(C52="","",IF(K52="",0,K52*IF(F52="",1,F52)))</f>
        <v/>
      </c>
      <c r="H52" s="46" t="str">
        <f aca="false">IF(C52="","",N(G52)*IFERROR(INDEX(Taux,MATCH(D52,Equipe,0)),0)+N(L52))</f>
        <v/>
      </c>
      <c r="I52" s="43"/>
      <c r="J52" s="43"/>
      <c r="K52" s="47" t="str">
        <f aca="false">IF(E52="","",IF(AND(I52&lt;&gt;"",J52&lt;&gt;""),ROUND((I52+4*E52+J52)/6,1),E52))</f>
        <v/>
      </c>
      <c r="L52" s="24"/>
      <c r="M52" s="48"/>
      <c r="N52" s="49"/>
      <c r="O52" s="49"/>
      <c r="P52" s="47" t="str">
        <f aca="false">IF(OR(C52="",N(G52)=0),"",IF(O52="",MAX(G52,N(N52)),N(N52)+O52))</f>
        <v/>
      </c>
      <c r="Q52" s="50" t="str">
        <f aca="false">IF(P52="","",P52-G52)</f>
        <v/>
      </c>
      <c r="R52" s="46" t="str">
        <f aca="false">IF(C52="","",N(P52)*IFERROR(INDEX(Taux,MATCH(D52,Equipe,0)),0)+N(L52))</f>
        <v/>
      </c>
      <c r="S52" s="23"/>
    </row>
    <row r="53" customFormat="false" ht="15" hidden="false" customHeight="true" outlineLevel="0" collapsed="false">
      <c r="A53" s="41"/>
      <c r="B53" s="42" t="str">
        <f aca="false">IF(A53="","",IFERROR(INDEX(Lot_nom,MATCH(LEFT(A53,FIND(".",A53&amp;".")-1)&amp;"",Lot_num,0)),"Unknown phase"))</f>
        <v/>
      </c>
      <c r="C53" s="23"/>
      <c r="D53" s="23"/>
      <c r="E53" s="43"/>
      <c r="F53" s="44"/>
      <c r="G53" s="45" t="str">
        <f aca="false">IF(C53="","",IF(K53="",0,K53*IF(F53="",1,F53)))</f>
        <v/>
      </c>
      <c r="H53" s="46" t="str">
        <f aca="false">IF(C53="","",N(G53)*IFERROR(INDEX(Taux,MATCH(D53,Equipe,0)),0)+N(L53))</f>
        <v/>
      </c>
      <c r="I53" s="43"/>
      <c r="J53" s="43"/>
      <c r="K53" s="47" t="str">
        <f aca="false">IF(E53="","",IF(AND(I53&lt;&gt;"",J53&lt;&gt;""),ROUND((I53+4*E53+J53)/6,1),E53))</f>
        <v/>
      </c>
      <c r="L53" s="24"/>
      <c r="M53" s="48"/>
      <c r="N53" s="49"/>
      <c r="O53" s="49"/>
      <c r="P53" s="47" t="str">
        <f aca="false">IF(OR(C53="",N(G53)=0),"",IF(O53="",MAX(G53,N(N53)),N(N53)+O53))</f>
        <v/>
      </c>
      <c r="Q53" s="50" t="str">
        <f aca="false">IF(P53="","",P53-G53)</f>
        <v/>
      </c>
      <c r="R53" s="46" t="str">
        <f aca="false">IF(C53="","",N(P53)*IFERROR(INDEX(Taux,MATCH(D53,Equipe,0)),0)+N(L53))</f>
        <v/>
      </c>
      <c r="S53" s="23"/>
    </row>
    <row r="54" customFormat="false" ht="15" hidden="false" customHeight="true" outlineLevel="0" collapsed="false">
      <c r="A54" s="41"/>
      <c r="B54" s="42" t="str">
        <f aca="false">IF(A54="","",IFERROR(INDEX(Lot_nom,MATCH(LEFT(A54,FIND(".",A54&amp;".")-1)&amp;"",Lot_num,0)),"Unknown phase"))</f>
        <v/>
      </c>
      <c r="C54" s="23"/>
      <c r="D54" s="23"/>
      <c r="E54" s="43"/>
      <c r="F54" s="44"/>
      <c r="G54" s="45" t="str">
        <f aca="false">IF(C54="","",IF(K54="",0,K54*IF(F54="",1,F54)))</f>
        <v/>
      </c>
      <c r="H54" s="46" t="str">
        <f aca="false">IF(C54="","",N(G54)*IFERROR(INDEX(Taux,MATCH(D54,Equipe,0)),0)+N(L54))</f>
        <v/>
      </c>
      <c r="I54" s="43"/>
      <c r="J54" s="43"/>
      <c r="K54" s="47" t="str">
        <f aca="false">IF(E54="","",IF(AND(I54&lt;&gt;"",J54&lt;&gt;""),ROUND((I54+4*E54+J54)/6,1),E54))</f>
        <v/>
      </c>
      <c r="L54" s="24"/>
      <c r="M54" s="48"/>
      <c r="N54" s="49"/>
      <c r="O54" s="49"/>
      <c r="P54" s="47" t="str">
        <f aca="false">IF(OR(C54="",N(G54)=0),"",IF(O54="",MAX(G54,N(N54)),N(N54)+O54))</f>
        <v/>
      </c>
      <c r="Q54" s="50" t="str">
        <f aca="false">IF(P54="","",P54-G54)</f>
        <v/>
      </c>
      <c r="R54" s="46" t="str">
        <f aca="false">IF(C54="","",N(P54)*IFERROR(INDEX(Taux,MATCH(D54,Equipe,0)),0)+N(L54))</f>
        <v/>
      </c>
      <c r="S54" s="23"/>
    </row>
    <row r="55" customFormat="false" ht="15" hidden="false" customHeight="true" outlineLevel="0" collapsed="false">
      <c r="A55" s="41"/>
      <c r="B55" s="42" t="str">
        <f aca="false">IF(A55="","",IFERROR(INDEX(Lot_nom,MATCH(LEFT(A55,FIND(".",A55&amp;".")-1)&amp;"",Lot_num,0)),"Unknown phase"))</f>
        <v/>
      </c>
      <c r="C55" s="23"/>
      <c r="D55" s="23"/>
      <c r="E55" s="43"/>
      <c r="F55" s="44"/>
      <c r="G55" s="45" t="str">
        <f aca="false">IF(C55="","",IF(K55="",0,K55*IF(F55="",1,F55)))</f>
        <v/>
      </c>
      <c r="H55" s="46" t="str">
        <f aca="false">IF(C55="","",N(G55)*IFERROR(INDEX(Taux,MATCH(D55,Equipe,0)),0)+N(L55))</f>
        <v/>
      </c>
      <c r="I55" s="43"/>
      <c r="J55" s="43"/>
      <c r="K55" s="47" t="str">
        <f aca="false">IF(E55="","",IF(AND(I55&lt;&gt;"",J55&lt;&gt;""),ROUND((I55+4*E55+J55)/6,1),E55))</f>
        <v/>
      </c>
      <c r="L55" s="24"/>
      <c r="M55" s="48"/>
      <c r="N55" s="49"/>
      <c r="O55" s="49"/>
      <c r="P55" s="47" t="str">
        <f aca="false">IF(OR(C55="",N(G55)=0),"",IF(O55="",MAX(G55,N(N55)),N(N55)+O55))</f>
        <v/>
      </c>
      <c r="Q55" s="50" t="str">
        <f aca="false">IF(P55="","",P55-G55)</f>
        <v/>
      </c>
      <c r="R55" s="46" t="str">
        <f aca="false">IF(C55="","",N(P55)*IFERROR(INDEX(Taux,MATCH(D55,Equipe,0)),0)+N(L55))</f>
        <v/>
      </c>
      <c r="S55" s="23"/>
    </row>
    <row r="57" customFormat="false" ht="15" hidden="false" customHeight="true" outlineLevel="0" collapsed="false">
      <c r="C57" s="51" t="s">
        <v>300</v>
      </c>
      <c r="G57" s="52" t="n">
        <f aca="false">SUM(G6:G55)</f>
        <v>457.6</v>
      </c>
      <c r="H57" s="53" t="n">
        <f aca="false">SUM(H6:H55)</f>
        <v>152400</v>
      </c>
      <c r="L57" s="53" t="n">
        <f aca="false">SUM(L6:L55)</f>
        <v>6540</v>
      </c>
      <c r="N57" s="52" t="n">
        <f aca="false">SUM(N6:N55)</f>
        <v>2</v>
      </c>
      <c r="O57" s="52" t="n">
        <f aca="false">SUM(O6:O55)</f>
        <v>20</v>
      </c>
      <c r="P57" s="52" t="n">
        <f aca="false">SUM(P6:P55)</f>
        <v>459.6</v>
      </c>
      <c r="Q57" s="54" t="n">
        <f aca="false">SUM(Q6:Q55)</f>
        <v>2</v>
      </c>
      <c r="R57" s="53" t="n">
        <f aca="false">SUM(R6:R55)</f>
        <v>153100</v>
      </c>
    </row>
    <row r="58" customFormat="false" ht="15" hidden="false" customHeight="true" outlineLevel="0" collapsed="false">
      <c r="C58" s="42" t="str">
        <f aca="false">"Coordination, time spent coordinating ("&amp;ROUND(Pilotage*100,0)&amp;"%)"</f>
        <v>Coordination, time spent coordinating (15%)</v>
      </c>
      <c r="G58" s="55" t="n">
        <f aca="false">G57*Pilotage</f>
        <v>68.64</v>
      </c>
      <c r="H58" s="46" t="n">
        <f aca="false">(H57-L57)*Pilotage</f>
        <v>21879</v>
      </c>
      <c r="S58" s="34" t="s">
        <v>301</v>
      </c>
    </row>
    <row r="59" customFormat="false" ht="15" hidden="false" customHeight="true" outlineLevel="0" collapsed="false">
      <c r="C59" s="51" t="s">
        <v>302</v>
      </c>
      <c r="G59" s="52" t="n">
        <f aca="false">G57+G58</f>
        <v>526.24</v>
      </c>
      <c r="H59" s="53" t="n">
        <f aca="false">H57+H58</f>
        <v>174279</v>
      </c>
    </row>
    <row r="60" customFormat="false" ht="15" hidden="false" customHeight="true" outlineLevel="0" collapsed="false">
      <c r="C60" s="42" t="str">
        <f aca="false">"Contingency, the reserve ("&amp;ROUND(Marge*100,0)&amp;"%)"</f>
        <v>Contingency, the reserve (10%)</v>
      </c>
      <c r="G60" s="55" t="n">
        <f aca="false">G59*Marge</f>
        <v>52.624</v>
      </c>
      <c r="H60" s="46" t="n">
        <f aca="false">H59*Marge</f>
        <v>17427.9</v>
      </c>
      <c r="S60" s="34" t="s">
        <v>303</v>
      </c>
    </row>
    <row r="61" customFormat="false" ht="15" hidden="false" customHeight="true" outlineLevel="0" collapsed="false">
      <c r="C61" s="51" t="str">
        <f aca="false">"Total, coordination "&amp;ROUND(Pilotage*100,0)&amp;"% and contingency "&amp;ROUND(Marge*100,0)&amp;"% included"</f>
        <v>Total, coordination 15% and contingency 10% included</v>
      </c>
      <c r="G61" s="52" t="n">
        <f aca="false">G59+G60</f>
        <v>578.864</v>
      </c>
      <c r="H61" s="53" t="n">
        <f aca="false">H59+H60</f>
        <v>191706.9</v>
      </c>
    </row>
    <row r="63" customFormat="false" ht="15" hidden="false" customHeight="true" outlineLevel="0" collapsed="false">
      <c r="C63" s="21" t="s">
        <v>304</v>
      </c>
    </row>
    <row r="64" customFormat="false" ht="15" hidden="false" customHeight="true" outlineLevel="0" collapsed="false">
      <c r="C64" s="22" t="s">
        <v>83</v>
      </c>
      <c r="D64" s="22" t="s">
        <v>84</v>
      </c>
      <c r="G64" s="22" t="s">
        <v>182</v>
      </c>
      <c r="H64" s="22" t="s">
        <v>183</v>
      </c>
    </row>
    <row r="65" customFormat="false" ht="15" hidden="false" customHeight="true" outlineLevel="0" collapsed="false">
      <c r="C65" s="42" t="str">
        <f aca="false">IF(Settings!A6="","",Settings!A6)</f>
        <v>Léa</v>
      </c>
      <c r="D65" s="42" t="str">
        <f aca="false">IF(Settings!B6="","",Settings!B6)</f>
        <v>Programming</v>
      </c>
      <c r="G65" s="55" t="n">
        <f aca="false">IF(C65="","",SUMIFS(G6:G55,D6:D55,C65))</f>
        <v>171.6</v>
      </c>
      <c r="H65" s="46" t="n">
        <f aca="false">IF(C65="","",SUMIFS(H6:H55,D6:D55,C65))</f>
        <v>60150</v>
      </c>
    </row>
    <row r="66" customFormat="false" ht="15" hidden="false" customHeight="true" outlineLevel="0" collapsed="false">
      <c r="C66" s="42" t="str">
        <f aca="false">IF(Settings!A7="","",Settings!A7)</f>
        <v>Sam</v>
      </c>
      <c r="D66" s="42" t="str">
        <f aca="false">IF(Settings!B7="","",Settings!B7)</f>
        <v>Art</v>
      </c>
      <c r="G66" s="55" t="n">
        <f aca="false">IF(C66="","",SUMIFS(G6:G55,D6:D55,C66))</f>
        <v>153</v>
      </c>
      <c r="H66" s="46" t="n">
        <f aca="false">IF(C66="","",SUMIFS(H6:H55,D6:D55,C66))</f>
        <v>45900</v>
      </c>
    </row>
    <row r="67" customFormat="false" ht="15" hidden="false" customHeight="true" outlineLevel="0" collapsed="false">
      <c r="C67" s="42" t="str">
        <f aca="false">IF(Settings!A8="","",Settings!A8)</f>
        <v>Noé</v>
      </c>
      <c r="D67" s="42" t="str">
        <f aca="false">IF(Settings!B8="","",Settings!B8)</f>
        <v>Design and production</v>
      </c>
      <c r="G67" s="55" t="n">
        <f aca="false">IF(C67="","",SUMIFS(G6:G55,D6:D55,C67))</f>
        <v>133</v>
      </c>
      <c r="H67" s="46" t="n">
        <f aca="false">IF(C67="","",SUMIFS(H6:H55,D6:D55,C67))</f>
        <v>42700</v>
      </c>
    </row>
    <row r="68" customFormat="false" ht="15" hidden="false" customHeight="true" outlineLevel="0" collapsed="false">
      <c r="C68" s="42" t="str">
        <f aca="false">IF(Settings!A9="","",Settings!A9)</f>
        <v/>
      </c>
      <c r="D68" s="42" t="str">
        <f aca="false">IF(Settings!B9="","",Settings!B9)</f>
        <v/>
      </c>
      <c r="G68" s="55" t="str">
        <f aca="false">IF(C68="","",SUMIFS(G6:G55,D6:D55,C68))</f>
        <v/>
      </c>
      <c r="H68" s="46" t="str">
        <f aca="false">IF(C68="","",SUMIFS(H6:H55,D6:D55,C68))</f>
        <v/>
      </c>
    </row>
    <row r="69" customFormat="false" ht="15" hidden="false" customHeight="true" outlineLevel="0" collapsed="false">
      <c r="C69" s="42" t="str">
        <f aca="false">IF(Settings!A10="","",Settings!A10)</f>
        <v/>
      </c>
      <c r="D69" s="42" t="str">
        <f aca="false">IF(Settings!B10="","",Settings!B10)</f>
        <v/>
      </c>
      <c r="G69" s="55" t="str">
        <f aca="false">IF(C69="","",SUMIFS(G6:G55,D6:D55,C69))</f>
        <v/>
      </c>
      <c r="H69" s="46" t="str">
        <f aca="false">IF(C69="","",SUMIFS(H6:H55,D6:D55,C69))</f>
        <v/>
      </c>
    </row>
    <row r="70" customFormat="false" ht="15" hidden="false" customHeight="true" outlineLevel="0" collapsed="false">
      <c r="C70" s="42" t="str">
        <f aca="false">IF(Settings!A11="","",Settings!A11)</f>
        <v/>
      </c>
      <c r="D70" s="42" t="str">
        <f aca="false">IF(Settings!B11="","",Settings!B11)</f>
        <v/>
      </c>
      <c r="G70" s="55" t="str">
        <f aca="false">IF(C70="","",SUMIFS(G6:G55,D6:D55,C70))</f>
        <v/>
      </c>
      <c r="H70" s="46" t="str">
        <f aca="false">IF(C70="","",SUMIFS(H6:H55,D6:D55,C70))</f>
        <v/>
      </c>
    </row>
    <row r="71" customFormat="false" ht="15" hidden="false" customHeight="true" outlineLevel="0" collapsed="false">
      <c r="C71" s="42" t="str">
        <f aca="false">IF(Settings!A12="","",Settings!A12)</f>
        <v>Freelance</v>
      </c>
      <c r="D71" s="42" t="str">
        <f aca="false">IF(Settings!B12="","",Settings!B12)</f>
        <v>Contractor on a flat fee</v>
      </c>
      <c r="G71" s="55" t="n">
        <f aca="false">IF(C71="","",SUMIFS(G6:G55,D6:D55,C71))</f>
        <v>0</v>
      </c>
      <c r="H71" s="46" t="n">
        <f aca="false">IF(C71="","",SUMIFS(H6:H55,D6:D55,C71))</f>
        <v>3650</v>
      </c>
    </row>
    <row r="72" customFormat="false" ht="15" hidden="false" customHeight="true" outlineLevel="0" collapsed="false">
      <c r="C72" s="51" t="s">
        <v>300</v>
      </c>
      <c r="G72" s="52" t="n">
        <f aca="false">SUM(G65:G71)</f>
        <v>457.6</v>
      </c>
      <c r="H72" s="53" t="n">
        <f aca="false">SUM(H65:H71)</f>
        <v>152400</v>
      </c>
    </row>
    <row r="73" customFormat="false" ht="15" hidden="false" customHeight="true" outlineLevel="0" collapsed="false">
      <c r="C73" s="34" t="s">
        <v>305</v>
      </c>
    </row>
    <row r="75" customFormat="false" ht="15" hidden="false" customHeight="true" outlineLevel="0" collapsed="false">
      <c r="C75" s="21" t="s">
        <v>306</v>
      </c>
    </row>
    <row r="76" customFormat="false" ht="15" hidden="false" customHeight="true" outlineLevel="0" collapsed="false">
      <c r="C76" s="42" t="s">
        <v>307</v>
      </c>
      <c r="G76" s="55" t="n">
        <f aca="false">SUMPRODUCT(((I6:I55&lt;&gt;"")*(J6:J55&lt;&gt;"")*I6:I55+(1-(I6:I55&lt;&gt;"")*(J6:J55&lt;&gt;""))*E6:E55)*(F6:F55+(F6:F55="")))</f>
        <v>428</v>
      </c>
    </row>
    <row r="77" customFormat="false" ht="15" hidden="false" customHeight="true" outlineLevel="0" collapsed="false">
      <c r="C77" s="42" t="s">
        <v>308</v>
      </c>
      <c r="G77" s="55" t="n">
        <f aca="false">G57</f>
        <v>457.6</v>
      </c>
    </row>
    <row r="78" customFormat="false" ht="15" hidden="false" customHeight="true" outlineLevel="0" collapsed="false">
      <c r="C78" s="42" t="s">
        <v>309</v>
      </c>
      <c r="G78" s="55" t="n">
        <f aca="false">SUMPRODUCT(((I6:I55&lt;&gt;"")*(J6:J55&lt;&gt;"")*J6:J55+(1-(I6:I55&lt;&gt;"")*(J6:J55&lt;&gt;""))*E6:E55)*(F6:F55+(F6:F55="")))</f>
        <v>514</v>
      </c>
    </row>
    <row r="79" customFormat="false" ht="15" hidden="false" customHeight="true" outlineLevel="0" collapsed="false">
      <c r="C79" s="42" t="s">
        <v>310</v>
      </c>
      <c r="G79" s="55" t="n">
        <f aca="false">G60</f>
        <v>52.624</v>
      </c>
    </row>
    <row r="80" customFormat="false" ht="15" hidden="false" customHeight="true" outlineLevel="0" collapsed="false">
      <c r="C80" s="51" t="s">
        <v>311</v>
      </c>
      <c r="G80" s="56" t="n">
        <f aca="false">IF(N(G78)-N(G77)&lt;=0,"",G79/(G78-G77))</f>
        <v>0.933049645390071</v>
      </c>
    </row>
    <row r="81" customFormat="false" ht="21.75" hidden="false" customHeight="true" outlineLevel="0" collapsed="false">
      <c r="C81" s="26" t="s">
        <v>312</v>
      </c>
      <c r="D81" s="26"/>
      <c r="E81" s="26"/>
      <c r="F81" s="26"/>
      <c r="G81" s="26"/>
      <c r="H81" s="26"/>
    </row>
    <row r="82" customFormat="false" ht="21.75" hidden="false" customHeight="true" outlineLevel="0" collapsed="false">
      <c r="C82" s="26"/>
      <c r="D82" s="26"/>
      <c r="E82" s="26"/>
      <c r="F82" s="26"/>
      <c r="G82" s="26"/>
      <c r="H82" s="26"/>
    </row>
    <row r="84" customFormat="false" ht="15" hidden="false" customHeight="true" outlineLevel="0" collapsed="false">
      <c r="C84" s="21" t="s">
        <v>313</v>
      </c>
    </row>
    <row r="85" customFormat="false" ht="15" hidden="false" customHeight="true" outlineLevel="0" collapsed="false">
      <c r="C85" s="42" t="s">
        <v>314</v>
      </c>
      <c r="H85" s="46" t="n">
        <f aca="false">SUMIFS(H6:H55,M6:M55,"Y")</f>
        <v>136600</v>
      </c>
    </row>
    <row r="86" customFormat="false" ht="15" hidden="false" customHeight="true" outlineLevel="0" collapsed="false">
      <c r="C86" s="42" t="s">
        <v>315</v>
      </c>
      <c r="H86" s="46" t="n">
        <f aca="false">H58</f>
        <v>21879</v>
      </c>
    </row>
    <row r="87" customFormat="false" ht="15" hidden="false" customHeight="true" outlineLevel="0" collapsed="false">
      <c r="C87" s="51" t="s">
        <v>316</v>
      </c>
      <c r="H87" s="53" t="n">
        <f aca="false">H85+H86</f>
        <v>158479</v>
      </c>
    </row>
    <row r="88" customFormat="false" ht="15" hidden="false" customHeight="true" outlineLevel="0" collapsed="false">
      <c r="C88" s="42" t="s">
        <v>317</v>
      </c>
      <c r="H88" s="25" t="n">
        <v>0.5</v>
      </c>
    </row>
    <row r="89" customFormat="false" ht="15" hidden="false" customHeight="true" outlineLevel="0" collapsed="false">
      <c r="C89" s="51" t="s">
        <v>318</v>
      </c>
      <c r="H89" s="53" t="n">
        <f aca="false">H87*H88</f>
        <v>79239.5</v>
      </c>
    </row>
    <row r="90" customFormat="false" ht="21.75" hidden="false" customHeight="true" outlineLevel="0" collapsed="false">
      <c r="C90" s="26" t="s">
        <v>319</v>
      </c>
      <c r="D90" s="26"/>
      <c r="E90" s="26"/>
      <c r="F90" s="26"/>
      <c r="G90" s="26"/>
      <c r="H90" s="26"/>
    </row>
    <row r="91" customFormat="false" ht="21.75" hidden="false" customHeight="true" outlineLevel="0" collapsed="false">
      <c r="C91" s="26"/>
      <c r="D91" s="26"/>
      <c r="E91" s="26"/>
      <c r="F91" s="26"/>
      <c r="G91" s="26"/>
      <c r="H91" s="26"/>
    </row>
    <row r="93" customFormat="false" ht="15" hidden="false" customHeight="true" outlineLevel="0" collapsed="false">
      <c r="C93" s="34" t="s">
        <v>320</v>
      </c>
    </row>
    <row r="94" customFormat="false" ht="15" hidden="false" customHeight="true" outlineLevel="0" collapsed="false">
      <c r="C94" s="34" t="s">
        <v>321</v>
      </c>
    </row>
    <row r="95" customFormat="false" ht="15" hidden="false" customHeight="true" outlineLevel="0" collapsed="false">
      <c r="C95" s="34" t="s">
        <v>322</v>
      </c>
    </row>
  </sheetData>
  <mergeCells count="2">
    <mergeCell ref="C81:H82"/>
    <mergeCell ref="C90:H91"/>
  </mergeCells>
  <conditionalFormatting sqref="B6:B55">
    <cfRule type="expression" priority="2" aboveAverage="0" equalAverage="0" bottom="0" percent="0" rank="0" text="" dxfId="0">
      <formula>B6="Unknown phase"</formula>
    </cfRule>
  </conditionalFormatting>
  <conditionalFormatting sqref="D6:D55">
    <cfRule type="expression" priority="3" aboveAverage="0" equalAverage="0" bottom="0" percent="0" rank="0" text="" dxfId="0">
      <formula>AND(D6&lt;&gt;"",ISNA(MATCH(D6,Equipe,0)))</formula>
    </cfRule>
  </conditionalFormatting>
  <conditionalFormatting sqref="E6:E55">
    <cfRule type="expression" priority="4" aboveAverage="0" equalAverage="0" bottom="0" percent="0" rank="0" text="" dxfId="1">
      <formula>AND(ISNUMBER(E6),E6&gt;10)</formula>
    </cfRule>
  </conditionalFormatting>
  <conditionalFormatting sqref="Q6:Q55">
    <cfRule type="expression" priority="5" aboveAverage="0" equalAverage="0" bottom="0" percent="0" rank="0" text="" dxfId="0">
      <formula>AND(ISNUMBER(Q6),Q6&gt;0)</formula>
    </cfRule>
    <cfRule type="expression" priority="6" aboveAverage="0" equalAverage="0" bottom="0" percent="0" rank="0" text="" dxfId="2">
      <formula>AND(ISNUMBER(Q6),Q6&lt;0)</formula>
    </cfRule>
  </conditionalFormatting>
  <conditionalFormatting sqref="G80">
    <cfRule type="expression" priority="7" aboveAverage="0" equalAverage="0" bottom="0" percent="0" rank="0" text="" dxfId="0">
      <formula>AND(ISNUMBER(G80),G80&lt;0.5)</formula>
    </cfRule>
    <cfRule type="expression" priority="8" aboveAverage="0" equalAverage="0" bottom="0" percent="0" rank="0" text="" dxfId="2">
      <formula>AND(ISNUMBER(G80),G80&gt;=0.5)</formula>
    </cfRule>
  </conditionalFormatting>
  <conditionalFormatting sqref="G72">
    <cfRule type="expression" priority="9" aboveAverage="0" equalAverage="0" bottom="0" percent="0" rank="0" text="" dxfId="0">
      <formula>ABS(G72-G57)&gt;0.05</formula>
    </cfRule>
  </conditionalFormatting>
  <dataValidations count="3">
    <dataValidation allowBlank="true" errorStyle="stop" operator="greaterThanOrEqual" showDropDown="false" showErrorMessage="false" showInputMessage="false" sqref="E6:F55 I6:J55 L6:L55 N6:O55" type="decimal">
      <formula1>0</formula1>
      <formula2>0</formula2>
    </dataValidation>
    <dataValidation allowBlank="true" error="Pick a person from the Settings tab." errorStyle="stop" operator="between" showDropDown="false" showErrorMessage="true" showInputMessage="false" sqref="D6:D55" type="list">
      <formula1>Equipe</formula1>
      <formula2>0</formula2>
    </dataValidation>
    <dataValidation allowBlank="true" errorStyle="stop" operator="between" showDropDown="false" showErrorMessage="false" showInputMessage="false" sqref="M6:M55" type="list">
      <formula1>"Y,N"</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BJ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9" ySplit="6" topLeftCell="J7" activePane="bottomRight" state="frozen"/>
      <selection pane="topLeft" activeCell="A1" activeCellId="0" sqref="A1"/>
      <selection pane="topRight" activeCell="J1" activeCellId="0" sqref="J1"/>
      <selection pane="bottomLeft" activeCell="A7" activeCellId="0" sqref="A7"/>
      <selection pane="bottomRight" activeCell="A1" activeCellId="0" sqref="A1"/>
    </sheetView>
  </sheetViews>
  <sheetFormatPr defaultColWidth="8.6796875" defaultRowHeight="15" zeroHeight="false" outlineLevelRow="0" outlineLevelCol="1"/>
  <cols>
    <col collapsed="false" customWidth="true" hidden="false" outlineLevel="0" max="1" min="1" style="1" width="18"/>
    <col collapsed="false" customWidth="true" hidden="false" outlineLevel="0" max="2" min="2" style="1" width="40"/>
    <col collapsed="false" customWidth="true" hidden="false" outlineLevel="0" max="5" min="3" style="1" width="11"/>
    <col collapsed="false" customWidth="true" hidden="false" outlineLevel="0" max="6" min="6" style="1" width="12"/>
    <col collapsed="false" customWidth="true" hidden="true" outlineLevel="1" max="7" min="7" style="1" width="10"/>
    <col collapsed="false" customWidth="true" hidden="true" outlineLevel="1" max="8" min="8" style="1" width="14"/>
    <col collapsed="false" customWidth="true" hidden="true" outlineLevel="1" max="9" min="9" style="1" width="46"/>
    <col collapsed="false" customWidth="true" hidden="false" outlineLevel="0" max="62" min="10" style="1" width="3.4"/>
  </cols>
  <sheetData>
    <row r="1" customFormat="false" ht="17.25" hidden="false" customHeight="true" outlineLevel="0" collapsed="false">
      <c r="A1" s="17" t="s">
        <v>323</v>
      </c>
    </row>
    <row r="2" customFormat="false" ht="21" hidden="false" customHeight="true" outlineLevel="0" collapsed="false">
      <c r="A2" s="18" t="s">
        <v>324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row>
    <row r="3" customFormat="false" ht="15" hidden="false" customHeight="true" outlineLevel="0" collapsed="false">
      <c r="A3" s="36" t="s">
        <v>325</v>
      </c>
    </row>
    <row r="4" customFormat="false" ht="18" hidden="false" customHeight="true" outlineLevel="0" collapsed="false">
      <c r="A4" s="19" t="s">
        <v>80</v>
      </c>
      <c r="B4" s="20" t="s">
        <v>174</v>
      </c>
      <c r="C4" s="57" t="s">
        <v>326</v>
      </c>
      <c r="D4" s="58" t="s">
        <v>135</v>
      </c>
      <c r="E4" s="59" t="s">
        <v>327</v>
      </c>
      <c r="F4" s="60" t="s">
        <v>118</v>
      </c>
      <c r="J4" s="61" t="str">
        <f aca="false">""&amp;YEAR(J6)</f>
        <v>2026</v>
      </c>
      <c r="K4" s="61" t="str">
        <f aca="false">IF(YEAR(K6)&lt;&gt;YEAR(J6),""&amp;YEAR(K6),"")</f>
        <v/>
      </c>
      <c r="L4" s="61" t="str">
        <f aca="false">IF(YEAR(L6)&lt;&gt;YEAR(K6),""&amp;YEAR(L6),"")</f>
        <v/>
      </c>
      <c r="M4" s="61" t="str">
        <f aca="false">IF(YEAR(M6)&lt;&gt;YEAR(L6),""&amp;YEAR(M6),"")</f>
        <v/>
      </c>
      <c r="N4" s="61" t="str">
        <f aca="false">IF(YEAR(N6)&lt;&gt;YEAR(M6),""&amp;YEAR(N6),"")</f>
        <v/>
      </c>
      <c r="O4" s="61" t="str">
        <f aca="false">IF(YEAR(O6)&lt;&gt;YEAR(N6),""&amp;YEAR(O6),"")</f>
        <v/>
      </c>
      <c r="P4" s="61" t="str">
        <f aca="false">IF(YEAR(P6)&lt;&gt;YEAR(O6),""&amp;YEAR(P6),"")</f>
        <v/>
      </c>
      <c r="Q4" s="61" t="str">
        <f aca="false">IF(YEAR(Q6)&lt;&gt;YEAR(P6),""&amp;YEAR(Q6),"")</f>
        <v/>
      </c>
      <c r="R4" s="61" t="str">
        <f aca="false">IF(YEAR(R6)&lt;&gt;YEAR(Q6),""&amp;YEAR(R6),"")</f>
        <v/>
      </c>
      <c r="S4" s="61" t="str">
        <f aca="false">IF(YEAR(S6)&lt;&gt;YEAR(R6),""&amp;YEAR(S6),"")</f>
        <v>2027</v>
      </c>
      <c r="T4" s="61" t="str">
        <f aca="false">IF(YEAR(T6)&lt;&gt;YEAR(S6),""&amp;YEAR(T6),"")</f>
        <v/>
      </c>
      <c r="U4" s="61" t="str">
        <f aca="false">IF(YEAR(U6)&lt;&gt;YEAR(T6),""&amp;YEAR(U6),"")</f>
        <v/>
      </c>
      <c r="V4" s="61" t="str">
        <f aca="false">IF(YEAR(V6)&lt;&gt;YEAR(U6),""&amp;YEAR(V6),"")</f>
        <v/>
      </c>
      <c r="W4" s="61" t="str">
        <f aca="false">IF(YEAR(W6)&lt;&gt;YEAR(V6),""&amp;YEAR(W6),"")</f>
        <v/>
      </c>
      <c r="X4" s="61" t="str">
        <f aca="false">IF(YEAR(X6)&lt;&gt;YEAR(W6),""&amp;YEAR(X6),"")</f>
        <v/>
      </c>
      <c r="Y4" s="61" t="str">
        <f aca="false">IF(YEAR(Y6)&lt;&gt;YEAR(X6),""&amp;YEAR(Y6),"")</f>
        <v/>
      </c>
      <c r="Z4" s="61" t="str">
        <f aca="false">IF(YEAR(Z6)&lt;&gt;YEAR(Y6),""&amp;YEAR(Z6),"")</f>
        <v/>
      </c>
      <c r="AA4" s="61" t="str">
        <f aca="false">IF(YEAR(AA6)&lt;&gt;YEAR(Z6),""&amp;YEAR(AA6),"")</f>
        <v/>
      </c>
      <c r="AB4" s="61" t="str">
        <f aca="false">IF(YEAR(AB6)&lt;&gt;YEAR(AA6),""&amp;YEAR(AB6),"")</f>
        <v/>
      </c>
      <c r="AC4" s="61" t="str">
        <f aca="false">IF(YEAR(AC6)&lt;&gt;YEAR(AB6),""&amp;YEAR(AC6),"")</f>
        <v/>
      </c>
      <c r="AD4" s="61" t="str">
        <f aca="false">IF(YEAR(AD6)&lt;&gt;YEAR(AC6),""&amp;YEAR(AD6),"")</f>
        <v/>
      </c>
      <c r="AE4" s="61" t="str">
        <f aca="false">IF(YEAR(AE6)&lt;&gt;YEAR(AD6),""&amp;YEAR(AE6),"")</f>
        <v/>
      </c>
      <c r="AF4" s="61" t="str">
        <f aca="false">IF(YEAR(AF6)&lt;&gt;YEAR(AE6),""&amp;YEAR(AF6),"")</f>
        <v/>
      </c>
      <c r="AG4" s="61" t="str">
        <f aca="false">IF(YEAR(AG6)&lt;&gt;YEAR(AF6),""&amp;YEAR(AG6),"")</f>
        <v/>
      </c>
      <c r="AH4" s="61" t="str">
        <f aca="false">IF(YEAR(AH6)&lt;&gt;YEAR(AG6),""&amp;YEAR(AH6),"")</f>
        <v/>
      </c>
      <c r="AI4" s="61" t="str">
        <f aca="false">IF(YEAR(AI6)&lt;&gt;YEAR(AH6),""&amp;YEAR(AI6),"")</f>
        <v/>
      </c>
      <c r="AJ4" s="61" t="str">
        <f aca="false">IF(YEAR(AJ6)&lt;&gt;YEAR(AI6),""&amp;YEAR(AJ6),"")</f>
        <v/>
      </c>
      <c r="AK4" s="61" t="str">
        <f aca="false">IF(YEAR(AK6)&lt;&gt;YEAR(AJ6),""&amp;YEAR(AK6),"")</f>
        <v/>
      </c>
      <c r="AL4" s="61" t="str">
        <f aca="false">IF(YEAR(AL6)&lt;&gt;YEAR(AK6),""&amp;YEAR(AL6),"")</f>
        <v/>
      </c>
      <c r="AM4" s="61" t="str">
        <f aca="false">IF(YEAR(AM6)&lt;&gt;YEAR(AL6),""&amp;YEAR(AM6),"")</f>
        <v/>
      </c>
      <c r="AN4" s="61" t="str">
        <f aca="false">IF(YEAR(AN6)&lt;&gt;YEAR(AM6),""&amp;YEAR(AN6),"")</f>
        <v/>
      </c>
      <c r="AO4" s="61" t="str">
        <f aca="false">IF(YEAR(AO6)&lt;&gt;YEAR(AN6),""&amp;YEAR(AO6),"")</f>
        <v/>
      </c>
      <c r="AP4" s="61" t="str">
        <f aca="false">IF(YEAR(AP6)&lt;&gt;YEAR(AO6),""&amp;YEAR(AP6),"")</f>
        <v/>
      </c>
      <c r="AQ4" s="61" t="str">
        <f aca="false">IF(YEAR(AQ6)&lt;&gt;YEAR(AP6),""&amp;YEAR(AQ6),"")</f>
        <v/>
      </c>
      <c r="AR4" s="61" t="str">
        <f aca="false">IF(YEAR(AR6)&lt;&gt;YEAR(AQ6),""&amp;YEAR(AR6),"")</f>
        <v/>
      </c>
      <c r="AS4" s="61" t="str">
        <f aca="false">IF(YEAR(AS6)&lt;&gt;YEAR(AR6),""&amp;YEAR(AS6),"")</f>
        <v/>
      </c>
      <c r="AT4" s="61" t="str">
        <f aca="false">IF(YEAR(AT6)&lt;&gt;YEAR(AS6),""&amp;YEAR(AT6),"")</f>
        <v/>
      </c>
      <c r="AU4" s="61" t="str">
        <f aca="false">IF(YEAR(AU6)&lt;&gt;YEAR(AT6),""&amp;YEAR(AU6),"")</f>
        <v/>
      </c>
      <c r="AV4" s="61" t="str">
        <f aca="false">IF(YEAR(AV6)&lt;&gt;YEAR(AU6),""&amp;YEAR(AV6),"")</f>
        <v/>
      </c>
      <c r="AW4" s="61" t="str">
        <f aca="false">IF(YEAR(AW6)&lt;&gt;YEAR(AV6),""&amp;YEAR(AW6),"")</f>
        <v/>
      </c>
      <c r="AX4" s="61" t="str">
        <f aca="false">IF(YEAR(AX6)&lt;&gt;YEAR(AW6),""&amp;YEAR(AX6),"")</f>
        <v/>
      </c>
      <c r="AY4" s="61" t="str">
        <f aca="false">IF(YEAR(AY6)&lt;&gt;YEAR(AX6),""&amp;YEAR(AY6),"")</f>
        <v/>
      </c>
      <c r="AZ4" s="61" t="str">
        <f aca="false">IF(YEAR(AZ6)&lt;&gt;YEAR(AY6),""&amp;YEAR(AZ6),"")</f>
        <v/>
      </c>
      <c r="BA4" s="61" t="str">
        <f aca="false">IF(YEAR(BA6)&lt;&gt;YEAR(AZ6),""&amp;YEAR(BA6),"")</f>
        <v/>
      </c>
      <c r="BB4" s="61" t="str">
        <f aca="false">IF(YEAR(BB6)&lt;&gt;YEAR(BA6),""&amp;YEAR(BB6),"")</f>
        <v/>
      </c>
      <c r="BC4" s="61" t="str">
        <f aca="false">IF(YEAR(BC6)&lt;&gt;YEAR(BB6),""&amp;YEAR(BC6),"")</f>
        <v/>
      </c>
      <c r="BD4" s="61" t="str">
        <f aca="false">IF(YEAR(BD6)&lt;&gt;YEAR(BC6),""&amp;YEAR(BD6),"")</f>
        <v/>
      </c>
      <c r="BE4" s="61" t="str">
        <f aca="false">IF(YEAR(BE6)&lt;&gt;YEAR(BD6),""&amp;YEAR(BE6),"")</f>
        <v/>
      </c>
      <c r="BF4" s="61" t="str">
        <f aca="false">IF(YEAR(BF6)&lt;&gt;YEAR(BE6),""&amp;YEAR(BF6),"")</f>
        <v/>
      </c>
      <c r="BG4" s="61" t="str">
        <f aca="false">IF(YEAR(BG6)&lt;&gt;YEAR(BF6),""&amp;YEAR(BG6),"")</f>
        <v/>
      </c>
      <c r="BH4" s="61" t="str">
        <f aca="false">IF(YEAR(BH6)&lt;&gt;YEAR(BG6),""&amp;YEAR(BH6),"")</f>
        <v/>
      </c>
      <c r="BI4" s="61" t="str">
        <f aca="false">IF(YEAR(BI6)&lt;&gt;YEAR(BH6),""&amp;YEAR(BI6),"")</f>
        <v/>
      </c>
      <c r="BJ4" s="61" t="str">
        <f aca="false">IF(YEAR(BJ6)&lt;&gt;YEAR(BI6),""&amp;YEAR(BJ6),"")</f>
        <v/>
      </c>
    </row>
    <row r="5" customFormat="false" ht="15.75" hidden="false" customHeight="true" outlineLevel="0" collapsed="false">
      <c r="J5" s="62" t="str">
        <f aca="false">CHOOSE(MONTH(J6),"Jan","Feb","Mar","Apr","May","Jun","Jul","Aug","Sep","Oct","Nov","Dec")</f>
        <v>Nov</v>
      </c>
      <c r="K5" s="62" t="str">
        <f aca="false">IF(MONTH(K6)&lt;&gt;MONTH(J6),CHOOSE(MONTH(K6),"Jan","Feb","Mar","Apr","May","Jun","Jul","Aug","Sep","Oct","Nov","Dec"),"")</f>
        <v/>
      </c>
      <c r="L5" s="62" t="str">
        <f aca="false">IF(MONTH(L6)&lt;&gt;MONTH(K6),CHOOSE(MONTH(L6),"Jan","Feb","Mar","Apr","May","Jun","Jul","Aug","Sep","Oct","Nov","Dec"),"")</f>
        <v/>
      </c>
      <c r="M5" s="62" t="str">
        <f aca="false">IF(MONTH(M6)&lt;&gt;MONTH(L6),CHOOSE(MONTH(M6),"Jan","Feb","Mar","Apr","May","Jun","Jul","Aug","Sep","Oct","Nov","Dec"),"")</f>
        <v/>
      </c>
      <c r="N5" s="62" t="str">
        <f aca="false">IF(MONTH(N6)&lt;&gt;MONTH(M6),CHOOSE(MONTH(N6),"Jan","Feb","Mar","Apr","May","Jun","Jul","Aug","Sep","Oct","Nov","Dec"),"")</f>
        <v/>
      </c>
      <c r="O5" s="62" t="str">
        <f aca="false">IF(MONTH(O6)&lt;&gt;MONTH(N6),CHOOSE(MONTH(O6),"Jan","Feb","Mar","Apr","May","Jun","Jul","Aug","Sep","Oct","Nov","Dec"),"")</f>
        <v>Dec</v>
      </c>
      <c r="P5" s="62" t="str">
        <f aca="false">IF(MONTH(P6)&lt;&gt;MONTH(O6),CHOOSE(MONTH(P6),"Jan","Feb","Mar","Apr","May","Jun","Jul","Aug","Sep","Oct","Nov","Dec"),"")</f>
        <v/>
      </c>
      <c r="Q5" s="62" t="str">
        <f aca="false">IF(MONTH(Q6)&lt;&gt;MONTH(P6),CHOOSE(MONTH(Q6),"Jan","Feb","Mar","Apr","May","Jun","Jul","Aug","Sep","Oct","Nov","Dec"),"")</f>
        <v/>
      </c>
      <c r="R5" s="62" t="str">
        <f aca="false">IF(MONTH(R6)&lt;&gt;MONTH(Q6),CHOOSE(MONTH(R6),"Jan","Feb","Mar","Apr","May","Jun","Jul","Aug","Sep","Oct","Nov","Dec"),"")</f>
        <v/>
      </c>
      <c r="S5" s="62" t="str">
        <f aca="false">IF(MONTH(S6)&lt;&gt;MONTH(R6),CHOOSE(MONTH(S6),"Jan","Feb","Mar","Apr","May","Jun","Jul","Aug","Sep","Oct","Nov","Dec"),"")</f>
        <v>Jan</v>
      </c>
      <c r="T5" s="62" t="str">
        <f aca="false">IF(MONTH(T6)&lt;&gt;MONTH(S6),CHOOSE(MONTH(T6),"Jan","Feb","Mar","Apr","May","Jun","Jul","Aug","Sep","Oct","Nov","Dec"),"")</f>
        <v/>
      </c>
      <c r="U5" s="62" t="str">
        <f aca="false">IF(MONTH(U6)&lt;&gt;MONTH(T6),CHOOSE(MONTH(U6),"Jan","Feb","Mar","Apr","May","Jun","Jul","Aug","Sep","Oct","Nov","Dec"),"")</f>
        <v/>
      </c>
      <c r="V5" s="62" t="str">
        <f aca="false">IF(MONTH(V6)&lt;&gt;MONTH(U6),CHOOSE(MONTH(V6),"Jan","Feb","Mar","Apr","May","Jun","Jul","Aug","Sep","Oct","Nov","Dec"),"")</f>
        <v/>
      </c>
      <c r="W5" s="62" t="str">
        <f aca="false">IF(MONTH(W6)&lt;&gt;MONTH(V6),CHOOSE(MONTH(W6),"Jan","Feb","Mar","Apr","May","Jun","Jul","Aug","Sep","Oct","Nov","Dec"),"")</f>
        <v>Feb</v>
      </c>
      <c r="X5" s="62" t="str">
        <f aca="false">IF(MONTH(X6)&lt;&gt;MONTH(W6),CHOOSE(MONTH(X6),"Jan","Feb","Mar","Apr","May","Jun","Jul","Aug","Sep","Oct","Nov","Dec"),"")</f>
        <v/>
      </c>
      <c r="Y5" s="62" t="str">
        <f aca="false">IF(MONTH(Y6)&lt;&gt;MONTH(X6),CHOOSE(MONTH(Y6),"Jan","Feb","Mar","Apr","May","Jun","Jul","Aug","Sep","Oct","Nov","Dec"),"")</f>
        <v/>
      </c>
      <c r="Z5" s="62" t="str">
        <f aca="false">IF(MONTH(Z6)&lt;&gt;MONTH(Y6),CHOOSE(MONTH(Z6),"Jan","Feb","Mar","Apr","May","Jun","Jul","Aug","Sep","Oct","Nov","Dec"),"")</f>
        <v/>
      </c>
      <c r="AA5" s="62" t="str">
        <f aca="false">IF(MONTH(AA6)&lt;&gt;MONTH(Z6),CHOOSE(MONTH(AA6),"Jan","Feb","Mar","Apr","May","Jun","Jul","Aug","Sep","Oct","Nov","Dec"),"")</f>
        <v>Mar</v>
      </c>
      <c r="AB5" s="62" t="str">
        <f aca="false">IF(MONTH(AB6)&lt;&gt;MONTH(AA6),CHOOSE(MONTH(AB6),"Jan","Feb","Mar","Apr","May","Jun","Jul","Aug","Sep","Oct","Nov","Dec"),"")</f>
        <v/>
      </c>
      <c r="AC5" s="62" t="str">
        <f aca="false">IF(MONTH(AC6)&lt;&gt;MONTH(AB6),CHOOSE(MONTH(AC6),"Jan","Feb","Mar","Apr","May","Jun","Jul","Aug","Sep","Oct","Nov","Dec"),"")</f>
        <v/>
      </c>
      <c r="AD5" s="62" t="str">
        <f aca="false">IF(MONTH(AD6)&lt;&gt;MONTH(AC6),CHOOSE(MONTH(AD6),"Jan","Feb","Mar","Apr","May","Jun","Jul","Aug","Sep","Oct","Nov","Dec"),"")</f>
        <v/>
      </c>
      <c r="AE5" s="62" t="str">
        <f aca="false">IF(MONTH(AE6)&lt;&gt;MONTH(AD6),CHOOSE(MONTH(AE6),"Jan","Feb","Mar","Apr","May","Jun","Jul","Aug","Sep","Oct","Nov","Dec"),"")</f>
        <v/>
      </c>
      <c r="AF5" s="62" t="str">
        <f aca="false">IF(MONTH(AF6)&lt;&gt;MONTH(AE6),CHOOSE(MONTH(AF6),"Jan","Feb","Mar","Apr","May","Jun","Jul","Aug","Sep","Oct","Nov","Dec"),"")</f>
        <v>Apr</v>
      </c>
      <c r="AG5" s="62" t="str">
        <f aca="false">IF(MONTH(AG6)&lt;&gt;MONTH(AF6),CHOOSE(MONTH(AG6),"Jan","Feb","Mar","Apr","May","Jun","Jul","Aug","Sep","Oct","Nov","Dec"),"")</f>
        <v/>
      </c>
      <c r="AH5" s="62" t="str">
        <f aca="false">IF(MONTH(AH6)&lt;&gt;MONTH(AG6),CHOOSE(MONTH(AH6),"Jan","Feb","Mar","Apr","May","Jun","Jul","Aug","Sep","Oct","Nov","Dec"),"")</f>
        <v/>
      </c>
      <c r="AI5" s="62" t="str">
        <f aca="false">IF(MONTH(AI6)&lt;&gt;MONTH(AH6),CHOOSE(MONTH(AI6),"Jan","Feb","Mar","Apr","May","Jun","Jul","Aug","Sep","Oct","Nov","Dec"),"")</f>
        <v/>
      </c>
      <c r="AJ5" s="62" t="str">
        <f aca="false">IF(MONTH(AJ6)&lt;&gt;MONTH(AI6),CHOOSE(MONTH(AJ6),"Jan","Feb","Mar","Apr","May","Jun","Jul","Aug","Sep","Oct","Nov","Dec"),"")</f>
        <v>May</v>
      </c>
      <c r="AK5" s="62" t="str">
        <f aca="false">IF(MONTH(AK6)&lt;&gt;MONTH(AJ6),CHOOSE(MONTH(AK6),"Jan","Feb","Mar","Apr","May","Jun","Jul","Aug","Sep","Oct","Nov","Dec"),"")</f>
        <v/>
      </c>
      <c r="AL5" s="62" t="str">
        <f aca="false">IF(MONTH(AL6)&lt;&gt;MONTH(AK6),CHOOSE(MONTH(AL6),"Jan","Feb","Mar","Apr","May","Jun","Jul","Aug","Sep","Oct","Nov","Dec"),"")</f>
        <v/>
      </c>
      <c r="AM5" s="62" t="str">
        <f aca="false">IF(MONTH(AM6)&lt;&gt;MONTH(AL6),CHOOSE(MONTH(AM6),"Jan","Feb","Mar","Apr","May","Jun","Jul","Aug","Sep","Oct","Nov","Dec"),"")</f>
        <v/>
      </c>
      <c r="AN5" s="62" t="str">
        <f aca="false">IF(MONTH(AN6)&lt;&gt;MONTH(AM6),CHOOSE(MONTH(AN6),"Jan","Feb","Mar","Apr","May","Jun","Jul","Aug","Sep","Oct","Nov","Dec"),"")</f>
        <v/>
      </c>
      <c r="AO5" s="62" t="str">
        <f aca="false">IF(MONTH(AO6)&lt;&gt;MONTH(AN6),CHOOSE(MONTH(AO6),"Jan","Feb","Mar","Apr","May","Jun","Jul","Aug","Sep","Oct","Nov","Dec"),"")</f>
        <v>Jun</v>
      </c>
      <c r="AP5" s="62" t="str">
        <f aca="false">IF(MONTH(AP6)&lt;&gt;MONTH(AO6),CHOOSE(MONTH(AP6),"Jan","Feb","Mar","Apr","May","Jun","Jul","Aug","Sep","Oct","Nov","Dec"),"")</f>
        <v/>
      </c>
      <c r="AQ5" s="62" t="str">
        <f aca="false">IF(MONTH(AQ6)&lt;&gt;MONTH(AP6),CHOOSE(MONTH(AQ6),"Jan","Feb","Mar","Apr","May","Jun","Jul","Aug","Sep","Oct","Nov","Dec"),"")</f>
        <v/>
      </c>
      <c r="AR5" s="62" t="str">
        <f aca="false">IF(MONTH(AR6)&lt;&gt;MONTH(AQ6),CHOOSE(MONTH(AR6),"Jan","Feb","Mar","Apr","May","Jun","Jul","Aug","Sep","Oct","Nov","Dec"),"")</f>
        <v/>
      </c>
      <c r="AS5" s="62" t="str">
        <f aca="false">IF(MONTH(AS6)&lt;&gt;MONTH(AR6),CHOOSE(MONTH(AS6),"Jan","Feb","Mar","Apr","May","Jun","Jul","Aug","Sep","Oct","Nov","Dec"),"")</f>
        <v>Jul</v>
      </c>
      <c r="AT5" s="62" t="str">
        <f aca="false">IF(MONTH(AT6)&lt;&gt;MONTH(AS6),CHOOSE(MONTH(AT6),"Jan","Feb","Mar","Apr","May","Jun","Jul","Aug","Sep","Oct","Nov","Dec"),"")</f>
        <v/>
      </c>
      <c r="AU5" s="62" t="str">
        <f aca="false">IF(MONTH(AU6)&lt;&gt;MONTH(AT6),CHOOSE(MONTH(AU6),"Jan","Feb","Mar","Apr","May","Jun","Jul","Aug","Sep","Oct","Nov","Dec"),"")</f>
        <v/>
      </c>
      <c r="AV5" s="62" t="str">
        <f aca="false">IF(MONTH(AV6)&lt;&gt;MONTH(AU6),CHOOSE(MONTH(AV6),"Jan","Feb","Mar","Apr","May","Jun","Jul","Aug","Sep","Oct","Nov","Dec"),"")</f>
        <v/>
      </c>
      <c r="AW5" s="62" t="str">
        <f aca="false">IF(MONTH(AW6)&lt;&gt;MONTH(AV6),CHOOSE(MONTH(AW6),"Jan","Feb","Mar","Apr","May","Jun","Jul","Aug","Sep","Oct","Nov","Dec"),"")</f>
        <v>Aug</v>
      </c>
      <c r="AX5" s="62" t="str">
        <f aca="false">IF(MONTH(AX6)&lt;&gt;MONTH(AW6),CHOOSE(MONTH(AX6),"Jan","Feb","Mar","Apr","May","Jun","Jul","Aug","Sep","Oct","Nov","Dec"),"")</f>
        <v/>
      </c>
      <c r="AY5" s="62" t="str">
        <f aca="false">IF(MONTH(AY6)&lt;&gt;MONTH(AX6),CHOOSE(MONTH(AY6),"Jan","Feb","Mar","Apr","May","Jun","Jul","Aug","Sep","Oct","Nov","Dec"),"")</f>
        <v/>
      </c>
      <c r="AZ5" s="62" t="str">
        <f aca="false">IF(MONTH(AZ6)&lt;&gt;MONTH(AY6),CHOOSE(MONTH(AZ6),"Jan","Feb","Mar","Apr","May","Jun","Jul","Aug","Sep","Oct","Nov","Dec"),"")</f>
        <v/>
      </c>
      <c r="BA5" s="62" t="str">
        <f aca="false">IF(MONTH(BA6)&lt;&gt;MONTH(AZ6),CHOOSE(MONTH(BA6),"Jan","Feb","Mar","Apr","May","Jun","Jul","Aug","Sep","Oct","Nov","Dec"),"")</f>
        <v/>
      </c>
      <c r="BB5" s="62" t="str">
        <f aca="false">IF(MONTH(BB6)&lt;&gt;MONTH(BA6),CHOOSE(MONTH(BB6),"Jan","Feb","Mar","Apr","May","Jun","Jul","Aug","Sep","Oct","Nov","Dec"),"")</f>
        <v>Sep</v>
      </c>
      <c r="BC5" s="62" t="str">
        <f aca="false">IF(MONTH(BC6)&lt;&gt;MONTH(BB6),CHOOSE(MONTH(BC6),"Jan","Feb","Mar","Apr","May","Jun","Jul","Aug","Sep","Oct","Nov","Dec"),"")</f>
        <v/>
      </c>
      <c r="BD5" s="62" t="str">
        <f aca="false">IF(MONTH(BD6)&lt;&gt;MONTH(BC6),CHOOSE(MONTH(BD6),"Jan","Feb","Mar","Apr","May","Jun","Jul","Aug","Sep","Oct","Nov","Dec"),"")</f>
        <v/>
      </c>
      <c r="BE5" s="62" t="str">
        <f aca="false">IF(MONTH(BE6)&lt;&gt;MONTH(BD6),CHOOSE(MONTH(BE6),"Jan","Feb","Mar","Apr","May","Jun","Jul","Aug","Sep","Oct","Nov","Dec"),"")</f>
        <v/>
      </c>
      <c r="BF5" s="62" t="str">
        <f aca="false">IF(MONTH(BF6)&lt;&gt;MONTH(BE6),CHOOSE(MONTH(BF6),"Jan","Feb","Mar","Apr","May","Jun","Jul","Aug","Sep","Oct","Nov","Dec"),"")</f>
        <v>Oct</v>
      </c>
      <c r="BG5" s="62" t="str">
        <f aca="false">IF(MONTH(BG6)&lt;&gt;MONTH(BF6),CHOOSE(MONTH(BG6),"Jan","Feb","Mar","Apr","May","Jun","Jul","Aug","Sep","Oct","Nov","Dec"),"")</f>
        <v/>
      </c>
      <c r="BH5" s="62" t="str">
        <f aca="false">IF(MONTH(BH6)&lt;&gt;MONTH(BG6),CHOOSE(MONTH(BH6),"Jan","Feb","Mar","Apr","May","Jun","Jul","Aug","Sep","Oct","Nov","Dec"),"")</f>
        <v/>
      </c>
      <c r="BI5" s="62" t="str">
        <f aca="false">IF(MONTH(BI6)&lt;&gt;MONTH(BH6),CHOOSE(MONTH(BI6),"Jan","Feb","Mar","Apr","May","Jun","Jul","Aug","Sep","Oct","Nov","Dec"),"")</f>
        <v/>
      </c>
      <c r="BJ5" s="62" t="str">
        <f aca="false">IF(MONTH(BJ6)&lt;&gt;MONTH(BI6),CHOOSE(MONTH(BJ6),"Jan","Feb","Mar","Apr","May","Jun","Jul","Aug","Sep","Oct","Nov","Dec"),"")</f>
        <v>Nov</v>
      </c>
    </row>
    <row r="6" customFormat="false" ht="30" hidden="false" customHeight="true" outlineLevel="0" collapsed="false">
      <c r="A6" s="22" t="s">
        <v>130</v>
      </c>
      <c r="B6" s="22" t="s">
        <v>328</v>
      </c>
      <c r="C6" s="22" t="s">
        <v>329</v>
      </c>
      <c r="D6" s="22" t="s">
        <v>330</v>
      </c>
      <c r="E6" s="22" t="s">
        <v>331</v>
      </c>
      <c r="F6" s="22" t="s">
        <v>183</v>
      </c>
      <c r="G6" s="40" t="s">
        <v>332</v>
      </c>
      <c r="H6" s="40" t="s">
        <v>333</v>
      </c>
      <c r="I6" s="40" t="s">
        <v>334</v>
      </c>
      <c r="J6" s="63" t="n">
        <f aca="false">WORKDAY(Debut-1,1,Feries)-WEEKDAY(WORKDAY(Debut-1,1,Feries),2)+1</f>
        <v>46328</v>
      </c>
      <c r="K6" s="63" t="n">
        <f aca="false">J6+7</f>
        <v>46335</v>
      </c>
      <c r="L6" s="63" t="n">
        <f aca="false">K6+7</f>
        <v>46342</v>
      </c>
      <c r="M6" s="63" t="n">
        <f aca="false">L6+7</f>
        <v>46349</v>
      </c>
      <c r="N6" s="63" t="n">
        <f aca="false">M6+7</f>
        <v>46356</v>
      </c>
      <c r="O6" s="63" t="n">
        <f aca="false">N6+7</f>
        <v>46363</v>
      </c>
      <c r="P6" s="63" t="n">
        <f aca="false">O6+7</f>
        <v>46370</v>
      </c>
      <c r="Q6" s="63" t="n">
        <f aca="false">P6+7</f>
        <v>46377</v>
      </c>
      <c r="R6" s="63" t="n">
        <f aca="false">Q6+7</f>
        <v>46384</v>
      </c>
      <c r="S6" s="63" t="n">
        <f aca="false">R6+7</f>
        <v>46391</v>
      </c>
      <c r="T6" s="63" t="n">
        <f aca="false">S6+7</f>
        <v>46398</v>
      </c>
      <c r="U6" s="63" t="n">
        <f aca="false">T6+7</f>
        <v>46405</v>
      </c>
      <c r="V6" s="63" t="n">
        <f aca="false">U6+7</f>
        <v>46412</v>
      </c>
      <c r="W6" s="63" t="n">
        <f aca="false">V6+7</f>
        <v>46419</v>
      </c>
      <c r="X6" s="63" t="n">
        <f aca="false">W6+7</f>
        <v>46426</v>
      </c>
      <c r="Y6" s="63" t="n">
        <f aca="false">X6+7</f>
        <v>46433</v>
      </c>
      <c r="Z6" s="63" t="n">
        <f aca="false">Y6+7</f>
        <v>46440</v>
      </c>
      <c r="AA6" s="63" t="n">
        <f aca="false">Z6+7</f>
        <v>46447</v>
      </c>
      <c r="AB6" s="63" t="n">
        <f aca="false">AA6+7</f>
        <v>46454</v>
      </c>
      <c r="AC6" s="63" t="n">
        <f aca="false">AB6+7</f>
        <v>46461</v>
      </c>
      <c r="AD6" s="63" t="n">
        <f aca="false">AC6+7</f>
        <v>46468</v>
      </c>
      <c r="AE6" s="63" t="n">
        <f aca="false">AD6+7</f>
        <v>46475</v>
      </c>
      <c r="AF6" s="63" t="n">
        <f aca="false">AE6+7</f>
        <v>46482</v>
      </c>
      <c r="AG6" s="63" t="n">
        <f aca="false">AF6+7</f>
        <v>46489</v>
      </c>
      <c r="AH6" s="63" t="n">
        <f aca="false">AG6+7</f>
        <v>46496</v>
      </c>
      <c r="AI6" s="63" t="n">
        <f aca="false">AH6+7</f>
        <v>46503</v>
      </c>
      <c r="AJ6" s="63" t="n">
        <f aca="false">AI6+7</f>
        <v>46510</v>
      </c>
      <c r="AK6" s="63" t="n">
        <f aca="false">AJ6+7</f>
        <v>46517</v>
      </c>
      <c r="AL6" s="63" t="n">
        <f aca="false">AK6+7</f>
        <v>46524</v>
      </c>
      <c r="AM6" s="63" t="n">
        <f aca="false">AL6+7</f>
        <v>46531</v>
      </c>
      <c r="AN6" s="63" t="n">
        <f aca="false">AM6+7</f>
        <v>46538</v>
      </c>
      <c r="AO6" s="63" t="n">
        <f aca="false">AN6+7</f>
        <v>46545</v>
      </c>
      <c r="AP6" s="63" t="n">
        <f aca="false">AO6+7</f>
        <v>46552</v>
      </c>
      <c r="AQ6" s="63" t="n">
        <f aca="false">AP6+7</f>
        <v>46559</v>
      </c>
      <c r="AR6" s="63" t="n">
        <f aca="false">AQ6+7</f>
        <v>46566</v>
      </c>
      <c r="AS6" s="63" t="n">
        <f aca="false">AR6+7</f>
        <v>46573</v>
      </c>
      <c r="AT6" s="63" t="n">
        <f aca="false">AS6+7</f>
        <v>46580</v>
      </c>
      <c r="AU6" s="63" t="n">
        <f aca="false">AT6+7</f>
        <v>46587</v>
      </c>
      <c r="AV6" s="63" t="n">
        <f aca="false">AU6+7</f>
        <v>46594</v>
      </c>
      <c r="AW6" s="63" t="n">
        <f aca="false">AV6+7</f>
        <v>46601</v>
      </c>
      <c r="AX6" s="63" t="n">
        <f aca="false">AW6+7</f>
        <v>46608</v>
      </c>
      <c r="AY6" s="63" t="n">
        <f aca="false">AX6+7</f>
        <v>46615</v>
      </c>
      <c r="AZ6" s="63" t="n">
        <f aca="false">AY6+7</f>
        <v>46622</v>
      </c>
      <c r="BA6" s="63" t="n">
        <f aca="false">AZ6+7</f>
        <v>46629</v>
      </c>
      <c r="BB6" s="63" t="n">
        <f aca="false">BA6+7</f>
        <v>46636</v>
      </c>
      <c r="BC6" s="63" t="n">
        <f aca="false">BB6+7</f>
        <v>46643</v>
      </c>
      <c r="BD6" s="63" t="n">
        <f aca="false">BC6+7</f>
        <v>46650</v>
      </c>
      <c r="BE6" s="63" t="n">
        <f aca="false">BD6+7</f>
        <v>46657</v>
      </c>
      <c r="BF6" s="63" t="n">
        <f aca="false">BE6+7</f>
        <v>46664</v>
      </c>
      <c r="BG6" s="63" t="n">
        <f aca="false">BF6+7</f>
        <v>46671</v>
      </c>
      <c r="BH6" s="63" t="n">
        <f aca="false">BG6+7</f>
        <v>46678</v>
      </c>
      <c r="BI6" s="63" t="n">
        <f aca="false">BH6+7</f>
        <v>46685</v>
      </c>
      <c r="BJ6" s="63" t="n">
        <f aca="false">BI6+7</f>
        <v>46692</v>
      </c>
    </row>
    <row r="7" customFormat="false" ht="15" hidden="false" customHeight="true" outlineLevel="0" collapsed="false">
      <c r="A7" s="64" t="str">
        <f aca="false">IF(Settings!B34="","",Settings!B34)</f>
        <v>Prototype</v>
      </c>
      <c r="B7" s="42" t="str">
        <f aca="false">IF(Settings!D34="","",Settings!D34)</f>
        <v>Core loop, controls, art direction, game design document, grant application</v>
      </c>
      <c r="C7" s="65" t="n">
        <f aca="false">J_Proto</f>
        <v>46402</v>
      </c>
      <c r="D7" s="66" t="n">
        <f aca="false">Debut</f>
        <v>46327</v>
      </c>
      <c r="E7" s="66" t="n">
        <f aca="false">J_Proto</f>
        <v>46402</v>
      </c>
      <c r="F7" s="46" t="n">
        <f aca="false">IF(A7="","",SUMIFS(WBS!$H$6:$H$55,WBS!$B$6:$B$55,A7))</f>
        <v>30555</v>
      </c>
      <c r="G7" s="67" t="n">
        <f aca="false">IF(OR(D7="",E7=""),"",NETWORKDAYS(D7,E7,Feries))</f>
        <v>48</v>
      </c>
      <c r="H7" s="42" t="str">
        <f aca="false">IF(A7="","",IFERROR(INDEX(Lot_type,MATCH(A7,Lot_nom,0)),"Game"))</f>
        <v>Game</v>
      </c>
      <c r="I7" s="42" t="s">
        <v>335</v>
      </c>
      <c r="J7" s="68" t="str">
        <f aca="false">IF(AND(ISNUMBER($C7),J$6&lt;=$C7,J$6+6&gt;=$C7),"♦","")</f>
        <v/>
      </c>
      <c r="K7" s="68" t="str">
        <f aca="false">IF(AND(ISNUMBER($C7),K$6&lt;=$C7,K$6+6&gt;=$C7),"♦","")</f>
        <v/>
      </c>
      <c r="L7" s="68" t="str">
        <f aca="false">IF(AND(ISNUMBER($C7),L$6&lt;=$C7,L$6+6&gt;=$C7),"♦","")</f>
        <v/>
      </c>
      <c r="M7" s="68" t="str">
        <f aca="false">IF(AND(ISNUMBER($C7),M$6&lt;=$C7,M$6+6&gt;=$C7),"♦","")</f>
        <v/>
      </c>
      <c r="N7" s="68" t="str">
        <f aca="false">IF(AND(ISNUMBER($C7),N$6&lt;=$C7,N$6+6&gt;=$C7),"♦","")</f>
        <v/>
      </c>
      <c r="O7" s="68" t="str">
        <f aca="false">IF(AND(ISNUMBER($C7),O$6&lt;=$C7,O$6+6&gt;=$C7),"♦","")</f>
        <v/>
      </c>
      <c r="P7" s="68" t="str">
        <f aca="false">IF(AND(ISNUMBER($C7),P$6&lt;=$C7,P$6+6&gt;=$C7),"♦","")</f>
        <v/>
      </c>
      <c r="Q7" s="68" t="str">
        <f aca="false">IF(AND(ISNUMBER($C7),Q$6&lt;=$C7,Q$6+6&gt;=$C7),"♦","")</f>
        <v/>
      </c>
      <c r="R7" s="68" t="str">
        <f aca="false">IF(AND(ISNUMBER($C7),R$6&lt;=$C7,R$6+6&gt;=$C7),"♦","")</f>
        <v/>
      </c>
      <c r="S7" s="68" t="str">
        <f aca="false">IF(AND(ISNUMBER($C7),S$6&lt;=$C7,S$6+6&gt;=$C7),"♦","")</f>
        <v/>
      </c>
      <c r="T7" s="68" t="str">
        <f aca="false">IF(AND(ISNUMBER($C7),T$6&lt;=$C7,T$6+6&gt;=$C7),"♦","")</f>
        <v>♦</v>
      </c>
      <c r="U7" s="68" t="str">
        <f aca="false">IF(AND(ISNUMBER($C7),U$6&lt;=$C7,U$6+6&gt;=$C7),"♦","")</f>
        <v/>
      </c>
      <c r="V7" s="68" t="str">
        <f aca="false">IF(AND(ISNUMBER($C7),V$6&lt;=$C7,V$6+6&gt;=$C7),"♦","")</f>
        <v/>
      </c>
      <c r="W7" s="68" t="str">
        <f aca="false">IF(AND(ISNUMBER($C7),W$6&lt;=$C7,W$6+6&gt;=$C7),"♦","")</f>
        <v/>
      </c>
      <c r="X7" s="68" t="str">
        <f aca="false">IF(AND(ISNUMBER($C7),X$6&lt;=$C7,X$6+6&gt;=$C7),"♦","")</f>
        <v/>
      </c>
      <c r="Y7" s="68" t="str">
        <f aca="false">IF(AND(ISNUMBER($C7),Y$6&lt;=$C7,Y$6+6&gt;=$C7),"♦","")</f>
        <v/>
      </c>
      <c r="Z7" s="68" t="str">
        <f aca="false">IF(AND(ISNUMBER($C7),Z$6&lt;=$C7,Z$6+6&gt;=$C7),"♦","")</f>
        <v/>
      </c>
      <c r="AA7" s="68" t="str">
        <f aca="false">IF(AND(ISNUMBER($C7),AA$6&lt;=$C7,AA$6+6&gt;=$C7),"♦","")</f>
        <v/>
      </c>
      <c r="AB7" s="68" t="str">
        <f aca="false">IF(AND(ISNUMBER($C7),AB$6&lt;=$C7,AB$6+6&gt;=$C7),"♦","")</f>
        <v/>
      </c>
      <c r="AC7" s="68" t="str">
        <f aca="false">IF(AND(ISNUMBER($C7),AC$6&lt;=$C7,AC$6+6&gt;=$C7),"♦","")</f>
        <v/>
      </c>
      <c r="AD7" s="68" t="str">
        <f aca="false">IF(AND(ISNUMBER($C7),AD$6&lt;=$C7,AD$6+6&gt;=$C7),"♦","")</f>
        <v/>
      </c>
      <c r="AE7" s="68" t="str">
        <f aca="false">IF(AND(ISNUMBER($C7),AE$6&lt;=$C7,AE$6+6&gt;=$C7),"♦","")</f>
        <v/>
      </c>
      <c r="AF7" s="68" t="str">
        <f aca="false">IF(AND(ISNUMBER($C7),AF$6&lt;=$C7,AF$6+6&gt;=$C7),"♦","")</f>
        <v/>
      </c>
      <c r="AG7" s="68" t="str">
        <f aca="false">IF(AND(ISNUMBER($C7),AG$6&lt;=$C7,AG$6+6&gt;=$C7),"♦","")</f>
        <v/>
      </c>
      <c r="AH7" s="68" t="str">
        <f aca="false">IF(AND(ISNUMBER($C7),AH$6&lt;=$C7,AH$6+6&gt;=$C7),"♦","")</f>
        <v/>
      </c>
      <c r="AI7" s="68" t="str">
        <f aca="false">IF(AND(ISNUMBER($C7),AI$6&lt;=$C7,AI$6+6&gt;=$C7),"♦","")</f>
        <v/>
      </c>
      <c r="AJ7" s="68" t="str">
        <f aca="false">IF(AND(ISNUMBER($C7),AJ$6&lt;=$C7,AJ$6+6&gt;=$C7),"♦","")</f>
        <v/>
      </c>
      <c r="AK7" s="68" t="str">
        <f aca="false">IF(AND(ISNUMBER($C7),AK$6&lt;=$C7,AK$6+6&gt;=$C7),"♦","")</f>
        <v/>
      </c>
      <c r="AL7" s="68" t="str">
        <f aca="false">IF(AND(ISNUMBER($C7),AL$6&lt;=$C7,AL$6+6&gt;=$C7),"♦","")</f>
        <v/>
      </c>
      <c r="AM7" s="68" t="str">
        <f aca="false">IF(AND(ISNUMBER($C7),AM$6&lt;=$C7,AM$6+6&gt;=$C7),"♦","")</f>
        <v/>
      </c>
      <c r="AN7" s="68" t="str">
        <f aca="false">IF(AND(ISNUMBER($C7),AN$6&lt;=$C7,AN$6+6&gt;=$C7),"♦","")</f>
        <v/>
      </c>
      <c r="AO7" s="68" t="str">
        <f aca="false">IF(AND(ISNUMBER($C7),AO$6&lt;=$C7,AO$6+6&gt;=$C7),"♦","")</f>
        <v/>
      </c>
      <c r="AP7" s="68" t="str">
        <f aca="false">IF(AND(ISNUMBER($C7),AP$6&lt;=$C7,AP$6+6&gt;=$C7),"♦","")</f>
        <v/>
      </c>
      <c r="AQ7" s="68" t="str">
        <f aca="false">IF(AND(ISNUMBER($C7),AQ$6&lt;=$C7,AQ$6+6&gt;=$C7),"♦","")</f>
        <v/>
      </c>
      <c r="AR7" s="68" t="str">
        <f aca="false">IF(AND(ISNUMBER($C7),AR$6&lt;=$C7,AR$6+6&gt;=$C7),"♦","")</f>
        <v/>
      </c>
      <c r="AS7" s="68" t="str">
        <f aca="false">IF(AND(ISNUMBER($C7),AS$6&lt;=$C7,AS$6+6&gt;=$C7),"♦","")</f>
        <v/>
      </c>
      <c r="AT7" s="68" t="str">
        <f aca="false">IF(AND(ISNUMBER($C7),AT$6&lt;=$C7,AT$6+6&gt;=$C7),"♦","")</f>
        <v/>
      </c>
      <c r="AU7" s="68" t="str">
        <f aca="false">IF(AND(ISNUMBER($C7),AU$6&lt;=$C7,AU$6+6&gt;=$C7),"♦","")</f>
        <v/>
      </c>
      <c r="AV7" s="68" t="str">
        <f aca="false">IF(AND(ISNUMBER($C7),AV$6&lt;=$C7,AV$6+6&gt;=$C7),"♦","")</f>
        <v/>
      </c>
      <c r="AW7" s="68" t="str">
        <f aca="false">IF(AND(ISNUMBER($C7),AW$6&lt;=$C7,AW$6+6&gt;=$C7),"♦","")</f>
        <v/>
      </c>
      <c r="AX7" s="68" t="str">
        <f aca="false">IF(AND(ISNUMBER($C7),AX$6&lt;=$C7,AX$6+6&gt;=$C7),"♦","")</f>
        <v/>
      </c>
      <c r="AY7" s="68" t="str">
        <f aca="false">IF(AND(ISNUMBER($C7),AY$6&lt;=$C7,AY$6+6&gt;=$C7),"♦","")</f>
        <v/>
      </c>
      <c r="AZ7" s="68" t="str">
        <f aca="false">IF(AND(ISNUMBER($C7),AZ$6&lt;=$C7,AZ$6+6&gt;=$C7),"♦","")</f>
        <v/>
      </c>
      <c r="BA7" s="68" t="str">
        <f aca="false">IF(AND(ISNUMBER($C7),BA$6&lt;=$C7,BA$6+6&gt;=$C7),"♦","")</f>
        <v/>
      </c>
      <c r="BB7" s="68" t="str">
        <f aca="false">IF(AND(ISNUMBER($C7),BB$6&lt;=$C7,BB$6+6&gt;=$C7),"♦","")</f>
        <v/>
      </c>
      <c r="BC7" s="68" t="str">
        <f aca="false">IF(AND(ISNUMBER($C7),BC$6&lt;=$C7,BC$6+6&gt;=$C7),"♦","")</f>
        <v/>
      </c>
      <c r="BD7" s="68" t="str">
        <f aca="false">IF(AND(ISNUMBER($C7),BD$6&lt;=$C7,BD$6+6&gt;=$C7),"♦","")</f>
        <v/>
      </c>
      <c r="BE7" s="68" t="str">
        <f aca="false">IF(AND(ISNUMBER($C7),BE$6&lt;=$C7,BE$6+6&gt;=$C7),"♦","")</f>
        <v/>
      </c>
      <c r="BF7" s="68" t="str">
        <f aca="false">IF(AND(ISNUMBER($C7),BF$6&lt;=$C7,BF$6+6&gt;=$C7),"♦","")</f>
        <v/>
      </c>
      <c r="BG7" s="68" t="str">
        <f aca="false">IF(AND(ISNUMBER($C7),BG$6&lt;=$C7,BG$6+6&gt;=$C7),"♦","")</f>
        <v/>
      </c>
      <c r="BH7" s="68" t="str">
        <f aca="false">IF(AND(ISNUMBER($C7),BH$6&lt;=$C7,BH$6+6&gt;=$C7),"♦","")</f>
        <v/>
      </c>
      <c r="BI7" s="68" t="str">
        <f aca="false">IF(AND(ISNUMBER($C7),BI$6&lt;=$C7,BI$6+6&gt;=$C7),"♦","")</f>
        <v/>
      </c>
      <c r="BJ7" s="68" t="str">
        <f aca="false">IF(AND(ISNUMBER($C7),BJ$6&lt;=$C7,BJ$6+6&gt;=$C7),"♦","")</f>
        <v/>
      </c>
    </row>
    <row r="8" customFormat="false" ht="15" hidden="false" customHeight="true" outlineLevel="0" collapsed="false">
      <c r="A8" s="64" t="str">
        <f aca="false">IF(Settings!B35="","",Settings!B35)</f>
        <v>Steam page</v>
      </c>
      <c r="B8" s="42" t="str">
        <f aca="false">IF(Settings!D35="","",Settings!D35)</f>
        <v>Capsule, screenshots, short trailer, copy and page launch</v>
      </c>
      <c r="C8" s="65" t="n">
        <f aca="false">J_PageSteam</f>
        <v>46461</v>
      </c>
      <c r="D8" s="66" t="n">
        <f aca="false">WORKDAY(J_Proto,1,Feries)</f>
        <v>46405</v>
      </c>
      <c r="E8" s="66" t="n">
        <f aca="false">J_PageSteam</f>
        <v>46461</v>
      </c>
      <c r="F8" s="46" t="n">
        <f aca="false">IF(A8="","",SUMIFS(WBS!$H$6:$H$55,WBS!$B$6:$B$55,A8))</f>
        <v>4100</v>
      </c>
      <c r="G8" s="67" t="n">
        <f aca="false">IF(OR(D8="",E8=""),"",NETWORKDAYS(D8,E8,Feries))</f>
        <v>41</v>
      </c>
      <c r="H8" s="42" t="str">
        <f aca="false">IF(A8="","",IFERROR(INDEX(Lot_type,MATCH(A8,Lot_nom,0)),"Game"))</f>
        <v>Marketing</v>
      </c>
      <c r="I8" s="42" t="s">
        <v>336</v>
      </c>
      <c r="J8" s="68" t="str">
        <f aca="false">IF(AND(ISNUMBER($C8),J$6&lt;=$C8,J$6+6&gt;=$C8),"♦","")</f>
        <v/>
      </c>
      <c r="K8" s="68" t="str">
        <f aca="false">IF(AND(ISNUMBER($C8),K$6&lt;=$C8,K$6+6&gt;=$C8),"♦","")</f>
        <v/>
      </c>
      <c r="L8" s="68" t="str">
        <f aca="false">IF(AND(ISNUMBER($C8),L$6&lt;=$C8,L$6+6&gt;=$C8),"♦","")</f>
        <v/>
      </c>
      <c r="M8" s="68" t="str">
        <f aca="false">IF(AND(ISNUMBER($C8),M$6&lt;=$C8,M$6+6&gt;=$C8),"♦","")</f>
        <v/>
      </c>
      <c r="N8" s="68" t="str">
        <f aca="false">IF(AND(ISNUMBER($C8),N$6&lt;=$C8,N$6+6&gt;=$C8),"♦","")</f>
        <v/>
      </c>
      <c r="O8" s="68" t="str">
        <f aca="false">IF(AND(ISNUMBER($C8),O$6&lt;=$C8,O$6+6&gt;=$C8),"♦","")</f>
        <v/>
      </c>
      <c r="P8" s="68" t="str">
        <f aca="false">IF(AND(ISNUMBER($C8),P$6&lt;=$C8,P$6+6&gt;=$C8),"♦","")</f>
        <v/>
      </c>
      <c r="Q8" s="68" t="str">
        <f aca="false">IF(AND(ISNUMBER($C8),Q$6&lt;=$C8,Q$6+6&gt;=$C8),"♦","")</f>
        <v/>
      </c>
      <c r="R8" s="68" t="str">
        <f aca="false">IF(AND(ISNUMBER($C8),R$6&lt;=$C8,R$6+6&gt;=$C8),"♦","")</f>
        <v/>
      </c>
      <c r="S8" s="68" t="str">
        <f aca="false">IF(AND(ISNUMBER($C8),S$6&lt;=$C8,S$6+6&gt;=$C8),"♦","")</f>
        <v/>
      </c>
      <c r="T8" s="68" t="str">
        <f aca="false">IF(AND(ISNUMBER($C8),T$6&lt;=$C8,T$6+6&gt;=$C8),"♦","")</f>
        <v/>
      </c>
      <c r="U8" s="68" t="str">
        <f aca="false">IF(AND(ISNUMBER($C8),U$6&lt;=$C8,U$6+6&gt;=$C8),"♦","")</f>
        <v/>
      </c>
      <c r="V8" s="68" t="str">
        <f aca="false">IF(AND(ISNUMBER($C8),V$6&lt;=$C8,V$6+6&gt;=$C8),"♦","")</f>
        <v/>
      </c>
      <c r="W8" s="68" t="str">
        <f aca="false">IF(AND(ISNUMBER($C8),W$6&lt;=$C8,W$6+6&gt;=$C8),"♦","")</f>
        <v/>
      </c>
      <c r="X8" s="68" t="str">
        <f aca="false">IF(AND(ISNUMBER($C8),X$6&lt;=$C8,X$6+6&gt;=$C8),"♦","")</f>
        <v/>
      </c>
      <c r="Y8" s="68" t="str">
        <f aca="false">IF(AND(ISNUMBER($C8),Y$6&lt;=$C8,Y$6+6&gt;=$C8),"♦","")</f>
        <v/>
      </c>
      <c r="Z8" s="68" t="str">
        <f aca="false">IF(AND(ISNUMBER($C8),Z$6&lt;=$C8,Z$6+6&gt;=$C8),"♦","")</f>
        <v/>
      </c>
      <c r="AA8" s="68" t="str">
        <f aca="false">IF(AND(ISNUMBER($C8),AA$6&lt;=$C8,AA$6+6&gt;=$C8),"♦","")</f>
        <v/>
      </c>
      <c r="AB8" s="68" t="str">
        <f aca="false">IF(AND(ISNUMBER($C8),AB$6&lt;=$C8,AB$6+6&gt;=$C8),"♦","")</f>
        <v/>
      </c>
      <c r="AC8" s="68" t="str">
        <f aca="false">IF(AND(ISNUMBER($C8),AC$6&lt;=$C8,AC$6+6&gt;=$C8),"♦","")</f>
        <v>♦</v>
      </c>
      <c r="AD8" s="68" t="str">
        <f aca="false">IF(AND(ISNUMBER($C8),AD$6&lt;=$C8,AD$6+6&gt;=$C8),"♦","")</f>
        <v/>
      </c>
      <c r="AE8" s="68" t="str">
        <f aca="false">IF(AND(ISNUMBER($C8),AE$6&lt;=$C8,AE$6+6&gt;=$C8),"♦","")</f>
        <v/>
      </c>
      <c r="AF8" s="68" t="str">
        <f aca="false">IF(AND(ISNUMBER($C8),AF$6&lt;=$C8,AF$6+6&gt;=$C8),"♦","")</f>
        <v/>
      </c>
      <c r="AG8" s="68" t="str">
        <f aca="false">IF(AND(ISNUMBER($C8),AG$6&lt;=$C8,AG$6+6&gt;=$C8),"♦","")</f>
        <v/>
      </c>
      <c r="AH8" s="68" t="str">
        <f aca="false">IF(AND(ISNUMBER($C8),AH$6&lt;=$C8,AH$6+6&gt;=$C8),"♦","")</f>
        <v/>
      </c>
      <c r="AI8" s="68" t="str">
        <f aca="false">IF(AND(ISNUMBER($C8),AI$6&lt;=$C8,AI$6+6&gt;=$C8),"♦","")</f>
        <v/>
      </c>
      <c r="AJ8" s="68" t="str">
        <f aca="false">IF(AND(ISNUMBER($C8),AJ$6&lt;=$C8,AJ$6+6&gt;=$C8),"♦","")</f>
        <v/>
      </c>
      <c r="AK8" s="68" t="str">
        <f aca="false">IF(AND(ISNUMBER($C8),AK$6&lt;=$C8,AK$6+6&gt;=$C8),"♦","")</f>
        <v/>
      </c>
      <c r="AL8" s="68" t="str">
        <f aca="false">IF(AND(ISNUMBER($C8),AL$6&lt;=$C8,AL$6+6&gt;=$C8),"♦","")</f>
        <v/>
      </c>
      <c r="AM8" s="68" t="str">
        <f aca="false">IF(AND(ISNUMBER($C8),AM$6&lt;=$C8,AM$6+6&gt;=$C8),"♦","")</f>
        <v/>
      </c>
      <c r="AN8" s="68" t="str">
        <f aca="false">IF(AND(ISNUMBER($C8),AN$6&lt;=$C8,AN$6+6&gt;=$C8),"♦","")</f>
        <v/>
      </c>
      <c r="AO8" s="68" t="str">
        <f aca="false">IF(AND(ISNUMBER($C8),AO$6&lt;=$C8,AO$6+6&gt;=$C8),"♦","")</f>
        <v/>
      </c>
      <c r="AP8" s="68" t="str">
        <f aca="false">IF(AND(ISNUMBER($C8),AP$6&lt;=$C8,AP$6+6&gt;=$C8),"♦","")</f>
        <v/>
      </c>
      <c r="AQ8" s="68" t="str">
        <f aca="false">IF(AND(ISNUMBER($C8),AQ$6&lt;=$C8,AQ$6+6&gt;=$C8),"♦","")</f>
        <v/>
      </c>
      <c r="AR8" s="68" t="str">
        <f aca="false">IF(AND(ISNUMBER($C8),AR$6&lt;=$C8,AR$6+6&gt;=$C8),"♦","")</f>
        <v/>
      </c>
      <c r="AS8" s="68" t="str">
        <f aca="false">IF(AND(ISNUMBER($C8),AS$6&lt;=$C8,AS$6+6&gt;=$C8),"♦","")</f>
        <v/>
      </c>
      <c r="AT8" s="68" t="str">
        <f aca="false">IF(AND(ISNUMBER($C8),AT$6&lt;=$C8,AT$6+6&gt;=$C8),"♦","")</f>
        <v/>
      </c>
      <c r="AU8" s="68" t="str">
        <f aca="false">IF(AND(ISNUMBER($C8),AU$6&lt;=$C8,AU$6+6&gt;=$C8),"♦","")</f>
        <v/>
      </c>
      <c r="AV8" s="68" t="str">
        <f aca="false">IF(AND(ISNUMBER($C8),AV$6&lt;=$C8,AV$6+6&gt;=$C8),"♦","")</f>
        <v/>
      </c>
      <c r="AW8" s="68" t="str">
        <f aca="false">IF(AND(ISNUMBER($C8),AW$6&lt;=$C8,AW$6+6&gt;=$C8),"♦","")</f>
        <v/>
      </c>
      <c r="AX8" s="68" t="str">
        <f aca="false">IF(AND(ISNUMBER($C8),AX$6&lt;=$C8,AX$6+6&gt;=$C8),"♦","")</f>
        <v/>
      </c>
      <c r="AY8" s="68" t="str">
        <f aca="false">IF(AND(ISNUMBER($C8),AY$6&lt;=$C8,AY$6+6&gt;=$C8),"♦","")</f>
        <v/>
      </c>
      <c r="AZ8" s="68" t="str">
        <f aca="false">IF(AND(ISNUMBER($C8),AZ$6&lt;=$C8,AZ$6+6&gt;=$C8),"♦","")</f>
        <v/>
      </c>
      <c r="BA8" s="68" t="str">
        <f aca="false">IF(AND(ISNUMBER($C8),BA$6&lt;=$C8,BA$6+6&gt;=$C8),"♦","")</f>
        <v/>
      </c>
      <c r="BB8" s="68" t="str">
        <f aca="false">IF(AND(ISNUMBER($C8),BB$6&lt;=$C8,BB$6+6&gt;=$C8),"♦","")</f>
        <v/>
      </c>
      <c r="BC8" s="68" t="str">
        <f aca="false">IF(AND(ISNUMBER($C8),BC$6&lt;=$C8,BC$6+6&gt;=$C8),"♦","")</f>
        <v/>
      </c>
      <c r="BD8" s="68" t="str">
        <f aca="false">IF(AND(ISNUMBER($C8),BD$6&lt;=$C8,BD$6+6&gt;=$C8),"♦","")</f>
        <v/>
      </c>
      <c r="BE8" s="68" t="str">
        <f aca="false">IF(AND(ISNUMBER($C8),BE$6&lt;=$C8,BE$6+6&gt;=$C8),"♦","")</f>
        <v/>
      </c>
      <c r="BF8" s="68" t="str">
        <f aca="false">IF(AND(ISNUMBER($C8),BF$6&lt;=$C8,BF$6+6&gt;=$C8),"♦","")</f>
        <v/>
      </c>
      <c r="BG8" s="68" t="str">
        <f aca="false">IF(AND(ISNUMBER($C8),BG$6&lt;=$C8,BG$6+6&gt;=$C8),"♦","")</f>
        <v/>
      </c>
      <c r="BH8" s="68" t="str">
        <f aca="false">IF(AND(ISNUMBER($C8),BH$6&lt;=$C8,BH$6+6&gt;=$C8),"♦","")</f>
        <v/>
      </c>
      <c r="BI8" s="68" t="str">
        <f aca="false">IF(AND(ISNUMBER($C8),BI$6&lt;=$C8,BI$6+6&gt;=$C8),"♦","")</f>
        <v/>
      </c>
      <c r="BJ8" s="68" t="str">
        <f aca="false">IF(AND(ISNUMBER($C8),BJ$6&lt;=$C8,BJ$6+6&gt;=$C8),"♦","")</f>
        <v/>
      </c>
    </row>
    <row r="9" customFormat="false" ht="15" hidden="false" customHeight="true" outlineLevel="0" collapsed="false">
      <c r="A9" s="64" t="str">
        <f aca="false">IF(Settings!B36="","",Settings!B36)</f>
        <v>Production</v>
      </c>
      <c r="B9" s="42" t="str">
        <f aca="false">IF(Settings!D36="","",Settings!D36)</f>
        <v>The 12 levels, environments, enemies, bosses, menus, sound</v>
      </c>
      <c r="C9" s="65"/>
      <c r="D9" s="66" t="n">
        <f aca="false">WORKDAY(J_Proto,1,Feries)</f>
        <v>46405</v>
      </c>
      <c r="E9" s="66" t="n">
        <f aca="false">J_Sortie-7*Polish_sem-1</f>
        <v>46596</v>
      </c>
      <c r="F9" s="46" t="n">
        <f aca="false">IF(A9="","",SUMIFS(WBS!$H$6:$H$55,WBS!$B$6:$B$55,A9))</f>
        <v>76550</v>
      </c>
      <c r="G9" s="67" t="n">
        <f aca="false">IF(OR(D9="",E9=""),"",NETWORKDAYS(D9,E9,Feries))</f>
        <v>134</v>
      </c>
      <c r="H9" s="42" t="str">
        <f aca="false">IF(A9="","",IFERROR(INDEX(Lot_type,MATCH(A9,Lot_nom,0)),"Game"))</f>
        <v>Game</v>
      </c>
      <c r="I9" s="42" t="s">
        <v>337</v>
      </c>
      <c r="J9" s="68" t="str">
        <f aca="false">IF(AND(ISNUMBER($C9),J$6&lt;=$C9,J$6+6&gt;=$C9),"♦","")</f>
        <v/>
      </c>
      <c r="K9" s="68" t="str">
        <f aca="false">IF(AND(ISNUMBER($C9),K$6&lt;=$C9,K$6+6&gt;=$C9),"♦","")</f>
        <v/>
      </c>
      <c r="L9" s="68" t="str">
        <f aca="false">IF(AND(ISNUMBER($C9),L$6&lt;=$C9,L$6+6&gt;=$C9),"♦","")</f>
        <v/>
      </c>
      <c r="M9" s="68" t="str">
        <f aca="false">IF(AND(ISNUMBER($C9),M$6&lt;=$C9,M$6+6&gt;=$C9),"♦","")</f>
        <v/>
      </c>
      <c r="N9" s="68" t="str">
        <f aca="false">IF(AND(ISNUMBER($C9),N$6&lt;=$C9,N$6+6&gt;=$C9),"♦","")</f>
        <v/>
      </c>
      <c r="O9" s="68" t="str">
        <f aca="false">IF(AND(ISNUMBER($C9),O$6&lt;=$C9,O$6+6&gt;=$C9),"♦","")</f>
        <v/>
      </c>
      <c r="P9" s="68" t="str">
        <f aca="false">IF(AND(ISNUMBER($C9),P$6&lt;=$C9,P$6+6&gt;=$C9),"♦","")</f>
        <v/>
      </c>
      <c r="Q9" s="68" t="str">
        <f aca="false">IF(AND(ISNUMBER($C9),Q$6&lt;=$C9,Q$6+6&gt;=$C9),"♦","")</f>
        <v/>
      </c>
      <c r="R9" s="68" t="str">
        <f aca="false">IF(AND(ISNUMBER($C9),R$6&lt;=$C9,R$6+6&gt;=$C9),"♦","")</f>
        <v/>
      </c>
      <c r="S9" s="68" t="str">
        <f aca="false">IF(AND(ISNUMBER($C9),S$6&lt;=$C9,S$6+6&gt;=$C9),"♦","")</f>
        <v/>
      </c>
      <c r="T9" s="68" t="str">
        <f aca="false">IF(AND(ISNUMBER($C9),T$6&lt;=$C9,T$6+6&gt;=$C9),"♦","")</f>
        <v/>
      </c>
      <c r="U9" s="68" t="str">
        <f aca="false">IF(AND(ISNUMBER($C9),U$6&lt;=$C9,U$6+6&gt;=$C9),"♦","")</f>
        <v/>
      </c>
      <c r="V9" s="68" t="str">
        <f aca="false">IF(AND(ISNUMBER($C9),V$6&lt;=$C9,V$6+6&gt;=$C9),"♦","")</f>
        <v/>
      </c>
      <c r="W9" s="68" t="str">
        <f aca="false">IF(AND(ISNUMBER($C9),W$6&lt;=$C9,W$6+6&gt;=$C9),"♦","")</f>
        <v/>
      </c>
      <c r="X9" s="68" t="str">
        <f aca="false">IF(AND(ISNUMBER($C9),X$6&lt;=$C9,X$6+6&gt;=$C9),"♦","")</f>
        <v/>
      </c>
      <c r="Y9" s="68" t="str">
        <f aca="false">IF(AND(ISNUMBER($C9),Y$6&lt;=$C9,Y$6+6&gt;=$C9),"♦","")</f>
        <v/>
      </c>
      <c r="Z9" s="68" t="str">
        <f aca="false">IF(AND(ISNUMBER($C9),Z$6&lt;=$C9,Z$6+6&gt;=$C9),"♦","")</f>
        <v/>
      </c>
      <c r="AA9" s="68" t="str">
        <f aca="false">IF(AND(ISNUMBER($C9),AA$6&lt;=$C9,AA$6+6&gt;=$C9),"♦","")</f>
        <v/>
      </c>
      <c r="AB9" s="68" t="str">
        <f aca="false">IF(AND(ISNUMBER($C9),AB$6&lt;=$C9,AB$6+6&gt;=$C9),"♦","")</f>
        <v/>
      </c>
      <c r="AC9" s="68" t="str">
        <f aca="false">IF(AND(ISNUMBER($C9),AC$6&lt;=$C9,AC$6+6&gt;=$C9),"♦","")</f>
        <v/>
      </c>
      <c r="AD9" s="68" t="str">
        <f aca="false">IF(AND(ISNUMBER($C9),AD$6&lt;=$C9,AD$6+6&gt;=$C9),"♦","")</f>
        <v/>
      </c>
      <c r="AE9" s="68" t="str">
        <f aca="false">IF(AND(ISNUMBER($C9),AE$6&lt;=$C9,AE$6+6&gt;=$C9),"♦","")</f>
        <v/>
      </c>
      <c r="AF9" s="68" t="str">
        <f aca="false">IF(AND(ISNUMBER($C9),AF$6&lt;=$C9,AF$6+6&gt;=$C9),"♦","")</f>
        <v/>
      </c>
      <c r="AG9" s="68" t="str">
        <f aca="false">IF(AND(ISNUMBER($C9),AG$6&lt;=$C9,AG$6+6&gt;=$C9),"♦","")</f>
        <v/>
      </c>
      <c r="AH9" s="68" t="str">
        <f aca="false">IF(AND(ISNUMBER($C9),AH$6&lt;=$C9,AH$6+6&gt;=$C9),"♦","")</f>
        <v/>
      </c>
      <c r="AI9" s="68" t="str">
        <f aca="false">IF(AND(ISNUMBER($C9),AI$6&lt;=$C9,AI$6+6&gt;=$C9),"♦","")</f>
        <v/>
      </c>
      <c r="AJ9" s="68" t="str">
        <f aca="false">IF(AND(ISNUMBER($C9),AJ$6&lt;=$C9,AJ$6+6&gt;=$C9),"♦","")</f>
        <v/>
      </c>
      <c r="AK9" s="68" t="str">
        <f aca="false">IF(AND(ISNUMBER($C9),AK$6&lt;=$C9,AK$6+6&gt;=$C9),"♦","")</f>
        <v/>
      </c>
      <c r="AL9" s="68" t="str">
        <f aca="false">IF(AND(ISNUMBER($C9),AL$6&lt;=$C9,AL$6+6&gt;=$C9),"♦","")</f>
        <v/>
      </c>
      <c r="AM9" s="68" t="str">
        <f aca="false">IF(AND(ISNUMBER($C9),AM$6&lt;=$C9,AM$6+6&gt;=$C9),"♦","")</f>
        <v/>
      </c>
      <c r="AN9" s="68" t="str">
        <f aca="false">IF(AND(ISNUMBER($C9),AN$6&lt;=$C9,AN$6+6&gt;=$C9),"♦","")</f>
        <v/>
      </c>
      <c r="AO9" s="68" t="str">
        <f aca="false">IF(AND(ISNUMBER($C9),AO$6&lt;=$C9,AO$6+6&gt;=$C9),"♦","")</f>
        <v/>
      </c>
      <c r="AP9" s="68" t="str">
        <f aca="false">IF(AND(ISNUMBER($C9),AP$6&lt;=$C9,AP$6+6&gt;=$C9),"♦","")</f>
        <v/>
      </c>
      <c r="AQ9" s="68" t="str">
        <f aca="false">IF(AND(ISNUMBER($C9),AQ$6&lt;=$C9,AQ$6+6&gt;=$C9),"♦","")</f>
        <v/>
      </c>
      <c r="AR9" s="68" t="str">
        <f aca="false">IF(AND(ISNUMBER($C9),AR$6&lt;=$C9,AR$6+6&gt;=$C9),"♦","")</f>
        <v/>
      </c>
      <c r="AS9" s="68" t="str">
        <f aca="false">IF(AND(ISNUMBER($C9),AS$6&lt;=$C9,AS$6+6&gt;=$C9),"♦","")</f>
        <v/>
      </c>
      <c r="AT9" s="68" t="str">
        <f aca="false">IF(AND(ISNUMBER($C9),AT$6&lt;=$C9,AT$6+6&gt;=$C9),"♦","")</f>
        <v/>
      </c>
      <c r="AU9" s="68" t="str">
        <f aca="false">IF(AND(ISNUMBER($C9),AU$6&lt;=$C9,AU$6+6&gt;=$C9),"♦","")</f>
        <v/>
      </c>
      <c r="AV9" s="68" t="str">
        <f aca="false">IF(AND(ISNUMBER($C9),AV$6&lt;=$C9,AV$6+6&gt;=$C9),"♦","")</f>
        <v/>
      </c>
      <c r="AW9" s="68" t="str">
        <f aca="false">IF(AND(ISNUMBER($C9),AW$6&lt;=$C9,AW$6+6&gt;=$C9),"♦","")</f>
        <v/>
      </c>
      <c r="AX9" s="68" t="str">
        <f aca="false">IF(AND(ISNUMBER($C9),AX$6&lt;=$C9,AX$6+6&gt;=$C9),"♦","")</f>
        <v/>
      </c>
      <c r="AY9" s="68" t="str">
        <f aca="false">IF(AND(ISNUMBER($C9),AY$6&lt;=$C9,AY$6+6&gt;=$C9),"♦","")</f>
        <v/>
      </c>
      <c r="AZ9" s="68" t="str">
        <f aca="false">IF(AND(ISNUMBER($C9),AZ$6&lt;=$C9,AZ$6+6&gt;=$C9),"♦","")</f>
        <v/>
      </c>
      <c r="BA9" s="68" t="str">
        <f aca="false">IF(AND(ISNUMBER($C9),BA$6&lt;=$C9,BA$6+6&gt;=$C9),"♦","")</f>
        <v/>
      </c>
      <c r="BB9" s="68" t="str">
        <f aca="false">IF(AND(ISNUMBER($C9),BB$6&lt;=$C9,BB$6+6&gt;=$C9),"♦","")</f>
        <v/>
      </c>
      <c r="BC9" s="68" t="str">
        <f aca="false">IF(AND(ISNUMBER($C9),BC$6&lt;=$C9,BC$6+6&gt;=$C9),"♦","")</f>
        <v/>
      </c>
      <c r="BD9" s="68" t="str">
        <f aca="false">IF(AND(ISNUMBER($C9),BD$6&lt;=$C9,BD$6+6&gt;=$C9),"♦","")</f>
        <v/>
      </c>
      <c r="BE9" s="68" t="str">
        <f aca="false">IF(AND(ISNUMBER($C9),BE$6&lt;=$C9,BE$6+6&gt;=$C9),"♦","")</f>
        <v/>
      </c>
      <c r="BF9" s="68" t="str">
        <f aca="false">IF(AND(ISNUMBER($C9),BF$6&lt;=$C9,BF$6+6&gt;=$C9),"♦","")</f>
        <v/>
      </c>
      <c r="BG9" s="68" t="str">
        <f aca="false">IF(AND(ISNUMBER($C9),BG$6&lt;=$C9,BG$6+6&gt;=$C9),"♦","")</f>
        <v/>
      </c>
      <c r="BH9" s="68" t="str">
        <f aca="false">IF(AND(ISNUMBER($C9),BH$6&lt;=$C9,BH$6+6&gt;=$C9),"♦","")</f>
        <v/>
      </c>
      <c r="BI9" s="68" t="str">
        <f aca="false">IF(AND(ISNUMBER($C9),BI$6&lt;=$C9,BI$6+6&gt;=$C9),"♦","")</f>
        <v/>
      </c>
      <c r="BJ9" s="68" t="str">
        <f aca="false">IF(AND(ISNUMBER($C9),BJ$6&lt;=$C9,BJ$6+6&gt;=$C9),"♦","")</f>
        <v/>
      </c>
    </row>
    <row r="10" customFormat="false" ht="15" hidden="false" customHeight="true" outlineLevel="0" collapsed="false">
      <c r="A10" s="64" t="str">
        <f aca="false">IF(Settings!B37="","",Settings!B37)</f>
        <v>Next Fest demo</v>
      </c>
      <c r="B10" s="42" t="str">
        <f aca="false">IF(Settings!D37="","",Settings!D37)</f>
        <v>Demo build, QA, festival week</v>
      </c>
      <c r="C10" s="65" t="n">
        <f aca="false">J_NextFest</f>
        <v>46552</v>
      </c>
      <c r="D10" s="66" t="n">
        <f aca="false">J_NextFest-7*Demo_sem</f>
        <v>46531</v>
      </c>
      <c r="E10" s="66" t="n">
        <f aca="false">J_NextFest+NF_jours</f>
        <v>46559</v>
      </c>
      <c r="F10" s="46" t="n">
        <f aca="false">IF(A10="","",SUMIFS(WBS!$H$6:$H$55,WBS!$B$6:$B$55,A10))</f>
        <v>9150</v>
      </c>
      <c r="G10" s="67" t="n">
        <f aca="false">IF(OR(D10="",E10=""),"",NETWORKDAYS(D10,E10,Feries))</f>
        <v>21</v>
      </c>
      <c r="H10" s="42" t="str">
        <f aca="false">IF(A10="","",IFERROR(INDEX(Lot_type,MATCH(A10,Lot_nom,0)),"Game"))</f>
        <v>Game</v>
      </c>
      <c r="I10" s="42" t="s">
        <v>338</v>
      </c>
      <c r="J10" s="68" t="str">
        <f aca="false">IF(AND(ISNUMBER($C10),J$6&lt;=$C10,J$6+6&gt;=$C10),"♦","")</f>
        <v/>
      </c>
      <c r="K10" s="68" t="str">
        <f aca="false">IF(AND(ISNUMBER($C10),K$6&lt;=$C10,K$6+6&gt;=$C10),"♦","")</f>
        <v/>
      </c>
      <c r="L10" s="68" t="str">
        <f aca="false">IF(AND(ISNUMBER($C10),L$6&lt;=$C10,L$6+6&gt;=$C10),"♦","")</f>
        <v/>
      </c>
      <c r="M10" s="68" t="str">
        <f aca="false">IF(AND(ISNUMBER($C10),M$6&lt;=$C10,M$6+6&gt;=$C10),"♦","")</f>
        <v/>
      </c>
      <c r="N10" s="68" t="str">
        <f aca="false">IF(AND(ISNUMBER($C10),N$6&lt;=$C10,N$6+6&gt;=$C10),"♦","")</f>
        <v/>
      </c>
      <c r="O10" s="68" t="str">
        <f aca="false">IF(AND(ISNUMBER($C10),O$6&lt;=$C10,O$6+6&gt;=$C10),"♦","")</f>
        <v/>
      </c>
      <c r="P10" s="68" t="str">
        <f aca="false">IF(AND(ISNUMBER($C10),P$6&lt;=$C10,P$6+6&gt;=$C10),"♦","")</f>
        <v/>
      </c>
      <c r="Q10" s="68" t="str">
        <f aca="false">IF(AND(ISNUMBER($C10),Q$6&lt;=$C10,Q$6+6&gt;=$C10),"♦","")</f>
        <v/>
      </c>
      <c r="R10" s="68" t="str">
        <f aca="false">IF(AND(ISNUMBER($C10),R$6&lt;=$C10,R$6+6&gt;=$C10),"♦","")</f>
        <v/>
      </c>
      <c r="S10" s="68" t="str">
        <f aca="false">IF(AND(ISNUMBER($C10),S$6&lt;=$C10,S$6+6&gt;=$C10),"♦","")</f>
        <v/>
      </c>
      <c r="T10" s="68" t="str">
        <f aca="false">IF(AND(ISNUMBER($C10),T$6&lt;=$C10,T$6+6&gt;=$C10),"♦","")</f>
        <v/>
      </c>
      <c r="U10" s="68" t="str">
        <f aca="false">IF(AND(ISNUMBER($C10),U$6&lt;=$C10,U$6+6&gt;=$C10),"♦","")</f>
        <v/>
      </c>
      <c r="V10" s="68" t="str">
        <f aca="false">IF(AND(ISNUMBER($C10),V$6&lt;=$C10,V$6+6&gt;=$C10),"♦","")</f>
        <v/>
      </c>
      <c r="W10" s="68" t="str">
        <f aca="false">IF(AND(ISNUMBER($C10),W$6&lt;=$C10,W$6+6&gt;=$C10),"♦","")</f>
        <v/>
      </c>
      <c r="X10" s="68" t="str">
        <f aca="false">IF(AND(ISNUMBER($C10),X$6&lt;=$C10,X$6+6&gt;=$C10),"♦","")</f>
        <v/>
      </c>
      <c r="Y10" s="68" t="str">
        <f aca="false">IF(AND(ISNUMBER($C10),Y$6&lt;=$C10,Y$6+6&gt;=$C10),"♦","")</f>
        <v/>
      </c>
      <c r="Z10" s="68" t="str">
        <f aca="false">IF(AND(ISNUMBER($C10),Z$6&lt;=$C10,Z$6+6&gt;=$C10),"♦","")</f>
        <v/>
      </c>
      <c r="AA10" s="68" t="str">
        <f aca="false">IF(AND(ISNUMBER($C10),AA$6&lt;=$C10,AA$6+6&gt;=$C10),"♦","")</f>
        <v/>
      </c>
      <c r="AB10" s="68" t="str">
        <f aca="false">IF(AND(ISNUMBER($C10),AB$6&lt;=$C10,AB$6+6&gt;=$C10),"♦","")</f>
        <v/>
      </c>
      <c r="AC10" s="68" t="str">
        <f aca="false">IF(AND(ISNUMBER($C10),AC$6&lt;=$C10,AC$6+6&gt;=$C10),"♦","")</f>
        <v/>
      </c>
      <c r="AD10" s="68" t="str">
        <f aca="false">IF(AND(ISNUMBER($C10),AD$6&lt;=$C10,AD$6+6&gt;=$C10),"♦","")</f>
        <v/>
      </c>
      <c r="AE10" s="68" t="str">
        <f aca="false">IF(AND(ISNUMBER($C10),AE$6&lt;=$C10,AE$6+6&gt;=$C10),"♦","")</f>
        <v/>
      </c>
      <c r="AF10" s="68" t="str">
        <f aca="false">IF(AND(ISNUMBER($C10),AF$6&lt;=$C10,AF$6+6&gt;=$C10),"♦","")</f>
        <v/>
      </c>
      <c r="AG10" s="68" t="str">
        <f aca="false">IF(AND(ISNUMBER($C10),AG$6&lt;=$C10,AG$6+6&gt;=$C10),"♦","")</f>
        <v/>
      </c>
      <c r="AH10" s="68" t="str">
        <f aca="false">IF(AND(ISNUMBER($C10),AH$6&lt;=$C10,AH$6+6&gt;=$C10),"♦","")</f>
        <v/>
      </c>
      <c r="AI10" s="68" t="str">
        <f aca="false">IF(AND(ISNUMBER($C10),AI$6&lt;=$C10,AI$6+6&gt;=$C10),"♦","")</f>
        <v/>
      </c>
      <c r="AJ10" s="68" t="str">
        <f aca="false">IF(AND(ISNUMBER($C10),AJ$6&lt;=$C10,AJ$6+6&gt;=$C10),"♦","")</f>
        <v/>
      </c>
      <c r="AK10" s="68" t="str">
        <f aca="false">IF(AND(ISNUMBER($C10),AK$6&lt;=$C10,AK$6+6&gt;=$C10),"♦","")</f>
        <v/>
      </c>
      <c r="AL10" s="68" t="str">
        <f aca="false">IF(AND(ISNUMBER($C10),AL$6&lt;=$C10,AL$6+6&gt;=$C10),"♦","")</f>
        <v/>
      </c>
      <c r="AM10" s="68" t="str">
        <f aca="false">IF(AND(ISNUMBER($C10),AM$6&lt;=$C10,AM$6+6&gt;=$C10),"♦","")</f>
        <v/>
      </c>
      <c r="AN10" s="68" t="str">
        <f aca="false">IF(AND(ISNUMBER($C10),AN$6&lt;=$C10,AN$6+6&gt;=$C10),"♦","")</f>
        <v/>
      </c>
      <c r="AO10" s="68" t="str">
        <f aca="false">IF(AND(ISNUMBER($C10),AO$6&lt;=$C10,AO$6+6&gt;=$C10),"♦","")</f>
        <v/>
      </c>
      <c r="AP10" s="68" t="str">
        <f aca="false">IF(AND(ISNUMBER($C10),AP$6&lt;=$C10,AP$6+6&gt;=$C10),"♦","")</f>
        <v>♦</v>
      </c>
      <c r="AQ10" s="68" t="str">
        <f aca="false">IF(AND(ISNUMBER($C10),AQ$6&lt;=$C10,AQ$6+6&gt;=$C10),"♦","")</f>
        <v/>
      </c>
      <c r="AR10" s="68" t="str">
        <f aca="false">IF(AND(ISNUMBER($C10),AR$6&lt;=$C10,AR$6+6&gt;=$C10),"♦","")</f>
        <v/>
      </c>
      <c r="AS10" s="68" t="str">
        <f aca="false">IF(AND(ISNUMBER($C10),AS$6&lt;=$C10,AS$6+6&gt;=$C10),"♦","")</f>
        <v/>
      </c>
      <c r="AT10" s="68" t="str">
        <f aca="false">IF(AND(ISNUMBER($C10),AT$6&lt;=$C10,AT$6+6&gt;=$C10),"♦","")</f>
        <v/>
      </c>
      <c r="AU10" s="68" t="str">
        <f aca="false">IF(AND(ISNUMBER($C10),AU$6&lt;=$C10,AU$6+6&gt;=$C10),"♦","")</f>
        <v/>
      </c>
      <c r="AV10" s="68" t="str">
        <f aca="false">IF(AND(ISNUMBER($C10),AV$6&lt;=$C10,AV$6+6&gt;=$C10),"♦","")</f>
        <v/>
      </c>
      <c r="AW10" s="68" t="str">
        <f aca="false">IF(AND(ISNUMBER($C10),AW$6&lt;=$C10,AW$6+6&gt;=$C10),"♦","")</f>
        <v/>
      </c>
      <c r="AX10" s="68" t="str">
        <f aca="false">IF(AND(ISNUMBER($C10),AX$6&lt;=$C10,AX$6+6&gt;=$C10),"♦","")</f>
        <v/>
      </c>
      <c r="AY10" s="68" t="str">
        <f aca="false">IF(AND(ISNUMBER($C10),AY$6&lt;=$C10,AY$6+6&gt;=$C10),"♦","")</f>
        <v/>
      </c>
      <c r="AZ10" s="68" t="str">
        <f aca="false">IF(AND(ISNUMBER($C10),AZ$6&lt;=$C10,AZ$6+6&gt;=$C10),"♦","")</f>
        <v/>
      </c>
      <c r="BA10" s="68" t="str">
        <f aca="false">IF(AND(ISNUMBER($C10),BA$6&lt;=$C10,BA$6+6&gt;=$C10),"♦","")</f>
        <v/>
      </c>
      <c r="BB10" s="68" t="str">
        <f aca="false">IF(AND(ISNUMBER($C10),BB$6&lt;=$C10,BB$6+6&gt;=$C10),"♦","")</f>
        <v/>
      </c>
      <c r="BC10" s="68" t="str">
        <f aca="false">IF(AND(ISNUMBER($C10),BC$6&lt;=$C10,BC$6+6&gt;=$C10),"♦","")</f>
        <v/>
      </c>
      <c r="BD10" s="68" t="str">
        <f aca="false">IF(AND(ISNUMBER($C10),BD$6&lt;=$C10,BD$6+6&gt;=$C10),"♦","")</f>
        <v/>
      </c>
      <c r="BE10" s="68" t="str">
        <f aca="false">IF(AND(ISNUMBER($C10),BE$6&lt;=$C10,BE$6+6&gt;=$C10),"♦","")</f>
        <v/>
      </c>
      <c r="BF10" s="68" t="str">
        <f aca="false">IF(AND(ISNUMBER($C10),BF$6&lt;=$C10,BF$6+6&gt;=$C10),"♦","")</f>
        <v/>
      </c>
      <c r="BG10" s="68" t="str">
        <f aca="false">IF(AND(ISNUMBER($C10),BG$6&lt;=$C10,BG$6+6&gt;=$C10),"♦","")</f>
        <v/>
      </c>
      <c r="BH10" s="68" t="str">
        <f aca="false">IF(AND(ISNUMBER($C10),BH$6&lt;=$C10,BH$6+6&gt;=$C10),"♦","")</f>
        <v/>
      </c>
      <c r="BI10" s="68" t="str">
        <f aca="false">IF(AND(ISNUMBER($C10),BI$6&lt;=$C10,BI$6+6&gt;=$C10),"♦","")</f>
        <v/>
      </c>
      <c r="BJ10" s="68" t="str">
        <f aca="false">IF(AND(ISNUMBER($C10),BJ$6&lt;=$C10,BJ$6+6&gt;=$C10),"♦","")</f>
        <v/>
      </c>
    </row>
    <row r="11" customFormat="false" ht="15" hidden="false" customHeight="true" outlineLevel="0" collapsed="false">
      <c r="A11" s="64" t="str">
        <f aca="false">IF(Settings!B38="","",Settings!B38)</f>
        <v>Polish and release</v>
      </c>
      <c r="B11" s="42" t="str">
        <f aca="false">IF(Settings!D38="","",Settings!D38)</f>
        <v>Debugging, polish, localization, QA, final build</v>
      </c>
      <c r="C11" s="65" t="n">
        <f aca="false">J_Sortie</f>
        <v>46674</v>
      </c>
      <c r="D11" s="66" t="n">
        <f aca="false">J_Sortie-7*Polish_sem</f>
        <v>46597</v>
      </c>
      <c r="E11" s="66" t="n">
        <f aca="false">J_Sortie</f>
        <v>46674</v>
      </c>
      <c r="F11" s="46" t="n">
        <f aca="false">IF(A11="","",SUMIFS(WBS!$H$6:$H$55,WBS!$B$6:$B$55,A11))</f>
        <v>26645</v>
      </c>
      <c r="G11" s="67" t="n">
        <f aca="false">IF(OR(D11="",E11=""),"",NETWORKDAYS(D11,E11,Feries))</f>
        <v>46</v>
      </c>
      <c r="H11" s="42" t="str">
        <f aca="false">IF(A11="","",IFERROR(INDEX(Lot_type,MATCH(A11,Lot_nom,0)),"Game"))</f>
        <v>Game</v>
      </c>
      <c r="I11" s="42" t="s">
        <v>339</v>
      </c>
      <c r="J11" s="68" t="str">
        <f aca="false">IF(AND(ISNUMBER($C11),J$6&lt;=$C11,J$6+6&gt;=$C11),"♦","")</f>
        <v/>
      </c>
      <c r="K11" s="68" t="str">
        <f aca="false">IF(AND(ISNUMBER($C11),K$6&lt;=$C11,K$6+6&gt;=$C11),"♦","")</f>
        <v/>
      </c>
      <c r="L11" s="68" t="str">
        <f aca="false">IF(AND(ISNUMBER($C11),L$6&lt;=$C11,L$6+6&gt;=$C11),"♦","")</f>
        <v/>
      </c>
      <c r="M11" s="68" t="str">
        <f aca="false">IF(AND(ISNUMBER($C11),M$6&lt;=$C11,M$6+6&gt;=$C11),"♦","")</f>
        <v/>
      </c>
      <c r="N11" s="68" t="str">
        <f aca="false">IF(AND(ISNUMBER($C11),N$6&lt;=$C11,N$6+6&gt;=$C11),"♦","")</f>
        <v/>
      </c>
      <c r="O11" s="68" t="str">
        <f aca="false">IF(AND(ISNUMBER($C11),O$6&lt;=$C11,O$6+6&gt;=$C11),"♦","")</f>
        <v/>
      </c>
      <c r="P11" s="68" t="str">
        <f aca="false">IF(AND(ISNUMBER($C11),P$6&lt;=$C11,P$6+6&gt;=$C11),"♦","")</f>
        <v/>
      </c>
      <c r="Q11" s="68" t="str">
        <f aca="false">IF(AND(ISNUMBER($C11),Q$6&lt;=$C11,Q$6+6&gt;=$C11),"♦","")</f>
        <v/>
      </c>
      <c r="R11" s="68" t="str">
        <f aca="false">IF(AND(ISNUMBER($C11),R$6&lt;=$C11,R$6+6&gt;=$C11),"♦","")</f>
        <v/>
      </c>
      <c r="S11" s="68" t="str">
        <f aca="false">IF(AND(ISNUMBER($C11),S$6&lt;=$C11,S$6+6&gt;=$C11),"♦","")</f>
        <v/>
      </c>
      <c r="T11" s="68" t="str">
        <f aca="false">IF(AND(ISNUMBER($C11),T$6&lt;=$C11,T$6+6&gt;=$C11),"♦","")</f>
        <v/>
      </c>
      <c r="U11" s="68" t="str">
        <f aca="false">IF(AND(ISNUMBER($C11),U$6&lt;=$C11,U$6+6&gt;=$C11),"♦","")</f>
        <v/>
      </c>
      <c r="V11" s="68" t="str">
        <f aca="false">IF(AND(ISNUMBER($C11),V$6&lt;=$C11,V$6+6&gt;=$C11),"♦","")</f>
        <v/>
      </c>
      <c r="W11" s="68" t="str">
        <f aca="false">IF(AND(ISNUMBER($C11),W$6&lt;=$C11,W$6+6&gt;=$C11),"♦","")</f>
        <v/>
      </c>
      <c r="X11" s="68" t="str">
        <f aca="false">IF(AND(ISNUMBER($C11),X$6&lt;=$C11,X$6+6&gt;=$C11),"♦","")</f>
        <v/>
      </c>
      <c r="Y11" s="68" t="str">
        <f aca="false">IF(AND(ISNUMBER($C11),Y$6&lt;=$C11,Y$6+6&gt;=$C11),"♦","")</f>
        <v/>
      </c>
      <c r="Z11" s="68" t="str">
        <f aca="false">IF(AND(ISNUMBER($C11),Z$6&lt;=$C11,Z$6+6&gt;=$C11),"♦","")</f>
        <v/>
      </c>
      <c r="AA11" s="68" t="str">
        <f aca="false">IF(AND(ISNUMBER($C11),AA$6&lt;=$C11,AA$6+6&gt;=$C11),"♦","")</f>
        <v/>
      </c>
      <c r="AB11" s="68" t="str">
        <f aca="false">IF(AND(ISNUMBER($C11),AB$6&lt;=$C11,AB$6+6&gt;=$C11),"♦","")</f>
        <v/>
      </c>
      <c r="AC11" s="68" t="str">
        <f aca="false">IF(AND(ISNUMBER($C11),AC$6&lt;=$C11,AC$6+6&gt;=$C11),"♦","")</f>
        <v/>
      </c>
      <c r="AD11" s="68" t="str">
        <f aca="false">IF(AND(ISNUMBER($C11),AD$6&lt;=$C11,AD$6+6&gt;=$C11),"♦","")</f>
        <v/>
      </c>
      <c r="AE11" s="68" t="str">
        <f aca="false">IF(AND(ISNUMBER($C11),AE$6&lt;=$C11,AE$6+6&gt;=$C11),"♦","")</f>
        <v/>
      </c>
      <c r="AF11" s="68" t="str">
        <f aca="false">IF(AND(ISNUMBER($C11),AF$6&lt;=$C11,AF$6+6&gt;=$C11),"♦","")</f>
        <v/>
      </c>
      <c r="AG11" s="68" t="str">
        <f aca="false">IF(AND(ISNUMBER($C11),AG$6&lt;=$C11,AG$6+6&gt;=$C11),"♦","")</f>
        <v/>
      </c>
      <c r="AH11" s="68" t="str">
        <f aca="false">IF(AND(ISNUMBER($C11),AH$6&lt;=$C11,AH$6+6&gt;=$C11),"♦","")</f>
        <v/>
      </c>
      <c r="AI11" s="68" t="str">
        <f aca="false">IF(AND(ISNUMBER($C11),AI$6&lt;=$C11,AI$6+6&gt;=$C11),"♦","")</f>
        <v/>
      </c>
      <c r="AJ11" s="68" t="str">
        <f aca="false">IF(AND(ISNUMBER($C11),AJ$6&lt;=$C11,AJ$6+6&gt;=$C11),"♦","")</f>
        <v/>
      </c>
      <c r="AK11" s="68" t="str">
        <f aca="false">IF(AND(ISNUMBER($C11),AK$6&lt;=$C11,AK$6+6&gt;=$C11),"♦","")</f>
        <v/>
      </c>
      <c r="AL11" s="68" t="str">
        <f aca="false">IF(AND(ISNUMBER($C11),AL$6&lt;=$C11,AL$6+6&gt;=$C11),"♦","")</f>
        <v/>
      </c>
      <c r="AM11" s="68" t="str">
        <f aca="false">IF(AND(ISNUMBER($C11),AM$6&lt;=$C11,AM$6+6&gt;=$C11),"♦","")</f>
        <v/>
      </c>
      <c r="AN11" s="68" t="str">
        <f aca="false">IF(AND(ISNUMBER($C11),AN$6&lt;=$C11,AN$6+6&gt;=$C11),"♦","")</f>
        <v/>
      </c>
      <c r="AO11" s="68" t="str">
        <f aca="false">IF(AND(ISNUMBER($C11),AO$6&lt;=$C11,AO$6+6&gt;=$C11),"♦","")</f>
        <v/>
      </c>
      <c r="AP11" s="68" t="str">
        <f aca="false">IF(AND(ISNUMBER($C11),AP$6&lt;=$C11,AP$6+6&gt;=$C11),"♦","")</f>
        <v/>
      </c>
      <c r="AQ11" s="68" t="str">
        <f aca="false">IF(AND(ISNUMBER($C11),AQ$6&lt;=$C11,AQ$6+6&gt;=$C11),"♦","")</f>
        <v/>
      </c>
      <c r="AR11" s="68" t="str">
        <f aca="false">IF(AND(ISNUMBER($C11),AR$6&lt;=$C11,AR$6+6&gt;=$C11),"♦","")</f>
        <v/>
      </c>
      <c r="AS11" s="68" t="str">
        <f aca="false">IF(AND(ISNUMBER($C11),AS$6&lt;=$C11,AS$6+6&gt;=$C11),"♦","")</f>
        <v/>
      </c>
      <c r="AT11" s="68" t="str">
        <f aca="false">IF(AND(ISNUMBER($C11),AT$6&lt;=$C11,AT$6+6&gt;=$C11),"♦","")</f>
        <v/>
      </c>
      <c r="AU11" s="68" t="str">
        <f aca="false">IF(AND(ISNUMBER($C11),AU$6&lt;=$C11,AU$6+6&gt;=$C11),"♦","")</f>
        <v/>
      </c>
      <c r="AV11" s="68" t="str">
        <f aca="false">IF(AND(ISNUMBER($C11),AV$6&lt;=$C11,AV$6+6&gt;=$C11),"♦","")</f>
        <v/>
      </c>
      <c r="AW11" s="68" t="str">
        <f aca="false">IF(AND(ISNUMBER($C11),AW$6&lt;=$C11,AW$6+6&gt;=$C11),"♦","")</f>
        <v/>
      </c>
      <c r="AX11" s="68" t="str">
        <f aca="false">IF(AND(ISNUMBER($C11),AX$6&lt;=$C11,AX$6+6&gt;=$C11),"♦","")</f>
        <v/>
      </c>
      <c r="AY11" s="68" t="str">
        <f aca="false">IF(AND(ISNUMBER($C11),AY$6&lt;=$C11,AY$6+6&gt;=$C11),"♦","")</f>
        <v/>
      </c>
      <c r="AZ11" s="68" t="str">
        <f aca="false">IF(AND(ISNUMBER($C11),AZ$6&lt;=$C11,AZ$6+6&gt;=$C11),"♦","")</f>
        <v/>
      </c>
      <c r="BA11" s="68" t="str">
        <f aca="false">IF(AND(ISNUMBER($C11),BA$6&lt;=$C11,BA$6+6&gt;=$C11),"♦","")</f>
        <v/>
      </c>
      <c r="BB11" s="68" t="str">
        <f aca="false">IF(AND(ISNUMBER($C11),BB$6&lt;=$C11,BB$6+6&gt;=$C11),"♦","")</f>
        <v/>
      </c>
      <c r="BC11" s="68" t="str">
        <f aca="false">IF(AND(ISNUMBER($C11),BC$6&lt;=$C11,BC$6+6&gt;=$C11),"♦","")</f>
        <v/>
      </c>
      <c r="BD11" s="68" t="str">
        <f aca="false">IF(AND(ISNUMBER($C11),BD$6&lt;=$C11,BD$6+6&gt;=$C11),"♦","")</f>
        <v/>
      </c>
      <c r="BE11" s="68" t="str">
        <f aca="false">IF(AND(ISNUMBER($C11),BE$6&lt;=$C11,BE$6+6&gt;=$C11),"♦","")</f>
        <v/>
      </c>
      <c r="BF11" s="68" t="str">
        <f aca="false">IF(AND(ISNUMBER($C11),BF$6&lt;=$C11,BF$6+6&gt;=$C11),"♦","")</f>
        <v/>
      </c>
      <c r="BG11" s="68" t="str">
        <f aca="false">IF(AND(ISNUMBER($C11),BG$6&lt;=$C11,BG$6+6&gt;=$C11),"♦","")</f>
        <v>♦</v>
      </c>
      <c r="BH11" s="68" t="str">
        <f aca="false">IF(AND(ISNUMBER($C11),BH$6&lt;=$C11,BH$6+6&gt;=$C11),"♦","")</f>
        <v/>
      </c>
      <c r="BI11" s="68" t="str">
        <f aca="false">IF(AND(ISNUMBER($C11),BI$6&lt;=$C11,BI$6+6&gt;=$C11),"♦","")</f>
        <v/>
      </c>
      <c r="BJ11" s="68" t="str">
        <f aca="false">IF(AND(ISNUMBER($C11),BJ$6&lt;=$C11,BJ$6+6&gt;=$C11),"♦","")</f>
        <v/>
      </c>
    </row>
    <row r="12" customFormat="false" ht="15" hidden="false" customHeight="true" outlineLevel="0" collapsed="false">
      <c r="A12" s="64" t="str">
        <f aca="false">IF(Settings!B39="","",Settings!B39)</f>
        <v>Marketing</v>
      </c>
      <c r="B12" s="42" t="str">
        <f aca="false">IF(Settings!D39="","",Settings!D39)</f>
        <v>Social media, devlog, press, festival</v>
      </c>
      <c r="C12" s="65" t="n">
        <f aca="false">J_Festival</f>
        <v>46493</v>
      </c>
      <c r="D12" s="66" t="n">
        <f aca="false">Debut</f>
        <v>46327</v>
      </c>
      <c r="E12" s="66" t="n">
        <f aca="false">J_Sortie</f>
        <v>46674</v>
      </c>
      <c r="F12" s="46" t="n">
        <f aca="false">IF(A12="","",SUMIFS(WBS!$H$6:$H$55,WBS!$B$6:$B$55,A12))</f>
        <v>5400</v>
      </c>
      <c r="G12" s="67" t="n">
        <f aca="false">IF(OR(D12="",E12=""),"",NETWORKDAYS(D12,E12,Feries))</f>
        <v>228</v>
      </c>
      <c r="H12" s="42" t="str">
        <f aca="false">IF(A12="","",IFERROR(INDEX(Lot_type,MATCH(A12,Lot_nom,0)),"Game"))</f>
        <v>Marketing</v>
      </c>
      <c r="I12" s="42" t="s">
        <v>340</v>
      </c>
      <c r="J12" s="68" t="str">
        <f aca="false">IF(AND(ISNUMBER($C12),J$6&lt;=$C12,J$6+6&gt;=$C12),"♦","")</f>
        <v/>
      </c>
      <c r="K12" s="68" t="str">
        <f aca="false">IF(AND(ISNUMBER($C12),K$6&lt;=$C12,K$6+6&gt;=$C12),"♦","")</f>
        <v/>
      </c>
      <c r="L12" s="68" t="str">
        <f aca="false">IF(AND(ISNUMBER($C12),L$6&lt;=$C12,L$6+6&gt;=$C12),"♦","")</f>
        <v/>
      </c>
      <c r="M12" s="68" t="str">
        <f aca="false">IF(AND(ISNUMBER($C12),M$6&lt;=$C12,M$6+6&gt;=$C12),"♦","")</f>
        <v/>
      </c>
      <c r="N12" s="68" t="str">
        <f aca="false">IF(AND(ISNUMBER($C12),N$6&lt;=$C12,N$6+6&gt;=$C12),"♦","")</f>
        <v/>
      </c>
      <c r="O12" s="68" t="str">
        <f aca="false">IF(AND(ISNUMBER($C12),O$6&lt;=$C12,O$6+6&gt;=$C12),"♦","")</f>
        <v/>
      </c>
      <c r="P12" s="68" t="str">
        <f aca="false">IF(AND(ISNUMBER($C12),P$6&lt;=$C12,P$6+6&gt;=$C12),"♦","")</f>
        <v/>
      </c>
      <c r="Q12" s="68" t="str">
        <f aca="false">IF(AND(ISNUMBER($C12),Q$6&lt;=$C12,Q$6+6&gt;=$C12),"♦","")</f>
        <v/>
      </c>
      <c r="R12" s="68" t="str">
        <f aca="false">IF(AND(ISNUMBER($C12),R$6&lt;=$C12,R$6+6&gt;=$C12),"♦","")</f>
        <v/>
      </c>
      <c r="S12" s="68" t="str">
        <f aca="false">IF(AND(ISNUMBER($C12),S$6&lt;=$C12,S$6+6&gt;=$C12),"♦","")</f>
        <v/>
      </c>
      <c r="T12" s="68" t="str">
        <f aca="false">IF(AND(ISNUMBER($C12),T$6&lt;=$C12,T$6+6&gt;=$C12),"♦","")</f>
        <v/>
      </c>
      <c r="U12" s="68" t="str">
        <f aca="false">IF(AND(ISNUMBER($C12),U$6&lt;=$C12,U$6+6&gt;=$C12),"♦","")</f>
        <v/>
      </c>
      <c r="V12" s="68" t="str">
        <f aca="false">IF(AND(ISNUMBER($C12),V$6&lt;=$C12,V$6+6&gt;=$C12),"♦","")</f>
        <v/>
      </c>
      <c r="W12" s="68" t="str">
        <f aca="false">IF(AND(ISNUMBER($C12),W$6&lt;=$C12,W$6+6&gt;=$C12),"♦","")</f>
        <v/>
      </c>
      <c r="X12" s="68" t="str">
        <f aca="false">IF(AND(ISNUMBER($C12),X$6&lt;=$C12,X$6+6&gt;=$C12),"♦","")</f>
        <v/>
      </c>
      <c r="Y12" s="68" t="str">
        <f aca="false">IF(AND(ISNUMBER($C12),Y$6&lt;=$C12,Y$6+6&gt;=$C12),"♦","")</f>
        <v/>
      </c>
      <c r="Z12" s="68" t="str">
        <f aca="false">IF(AND(ISNUMBER($C12),Z$6&lt;=$C12,Z$6+6&gt;=$C12),"♦","")</f>
        <v/>
      </c>
      <c r="AA12" s="68" t="str">
        <f aca="false">IF(AND(ISNUMBER($C12),AA$6&lt;=$C12,AA$6+6&gt;=$C12),"♦","")</f>
        <v/>
      </c>
      <c r="AB12" s="68" t="str">
        <f aca="false">IF(AND(ISNUMBER($C12),AB$6&lt;=$C12,AB$6+6&gt;=$C12),"♦","")</f>
        <v/>
      </c>
      <c r="AC12" s="68" t="str">
        <f aca="false">IF(AND(ISNUMBER($C12),AC$6&lt;=$C12,AC$6+6&gt;=$C12),"♦","")</f>
        <v/>
      </c>
      <c r="AD12" s="68" t="str">
        <f aca="false">IF(AND(ISNUMBER($C12),AD$6&lt;=$C12,AD$6+6&gt;=$C12),"♦","")</f>
        <v/>
      </c>
      <c r="AE12" s="68" t="str">
        <f aca="false">IF(AND(ISNUMBER($C12),AE$6&lt;=$C12,AE$6+6&gt;=$C12),"♦","")</f>
        <v/>
      </c>
      <c r="AF12" s="68" t="str">
        <f aca="false">IF(AND(ISNUMBER($C12),AF$6&lt;=$C12,AF$6+6&gt;=$C12),"♦","")</f>
        <v/>
      </c>
      <c r="AG12" s="68" t="str">
        <f aca="false">IF(AND(ISNUMBER($C12),AG$6&lt;=$C12,AG$6+6&gt;=$C12),"♦","")</f>
        <v>♦</v>
      </c>
      <c r="AH12" s="68" t="str">
        <f aca="false">IF(AND(ISNUMBER($C12),AH$6&lt;=$C12,AH$6+6&gt;=$C12),"♦","")</f>
        <v/>
      </c>
      <c r="AI12" s="68" t="str">
        <f aca="false">IF(AND(ISNUMBER($C12),AI$6&lt;=$C12,AI$6+6&gt;=$C12),"♦","")</f>
        <v/>
      </c>
      <c r="AJ12" s="68" t="str">
        <f aca="false">IF(AND(ISNUMBER($C12),AJ$6&lt;=$C12,AJ$6+6&gt;=$C12),"♦","")</f>
        <v/>
      </c>
      <c r="AK12" s="68" t="str">
        <f aca="false">IF(AND(ISNUMBER($C12),AK$6&lt;=$C12,AK$6+6&gt;=$C12),"♦","")</f>
        <v/>
      </c>
      <c r="AL12" s="68" t="str">
        <f aca="false">IF(AND(ISNUMBER($C12),AL$6&lt;=$C12,AL$6+6&gt;=$C12),"♦","")</f>
        <v/>
      </c>
      <c r="AM12" s="68" t="str">
        <f aca="false">IF(AND(ISNUMBER($C12),AM$6&lt;=$C12,AM$6+6&gt;=$C12),"♦","")</f>
        <v/>
      </c>
      <c r="AN12" s="68" t="str">
        <f aca="false">IF(AND(ISNUMBER($C12),AN$6&lt;=$C12,AN$6+6&gt;=$C12),"♦","")</f>
        <v/>
      </c>
      <c r="AO12" s="68" t="str">
        <f aca="false">IF(AND(ISNUMBER($C12),AO$6&lt;=$C12,AO$6+6&gt;=$C12),"♦","")</f>
        <v/>
      </c>
      <c r="AP12" s="68" t="str">
        <f aca="false">IF(AND(ISNUMBER($C12),AP$6&lt;=$C12,AP$6+6&gt;=$C12),"♦","")</f>
        <v/>
      </c>
      <c r="AQ12" s="68" t="str">
        <f aca="false">IF(AND(ISNUMBER($C12),AQ$6&lt;=$C12,AQ$6+6&gt;=$C12),"♦","")</f>
        <v/>
      </c>
      <c r="AR12" s="68" t="str">
        <f aca="false">IF(AND(ISNUMBER($C12),AR$6&lt;=$C12,AR$6+6&gt;=$C12),"♦","")</f>
        <v/>
      </c>
      <c r="AS12" s="68" t="str">
        <f aca="false">IF(AND(ISNUMBER($C12),AS$6&lt;=$C12,AS$6+6&gt;=$C12),"♦","")</f>
        <v/>
      </c>
      <c r="AT12" s="68" t="str">
        <f aca="false">IF(AND(ISNUMBER($C12),AT$6&lt;=$C12,AT$6+6&gt;=$C12),"♦","")</f>
        <v/>
      </c>
      <c r="AU12" s="68" t="str">
        <f aca="false">IF(AND(ISNUMBER($C12),AU$6&lt;=$C12,AU$6+6&gt;=$C12),"♦","")</f>
        <v/>
      </c>
      <c r="AV12" s="68" t="str">
        <f aca="false">IF(AND(ISNUMBER($C12),AV$6&lt;=$C12,AV$6+6&gt;=$C12),"♦","")</f>
        <v/>
      </c>
      <c r="AW12" s="68" t="str">
        <f aca="false">IF(AND(ISNUMBER($C12),AW$6&lt;=$C12,AW$6+6&gt;=$C12),"♦","")</f>
        <v/>
      </c>
      <c r="AX12" s="68" t="str">
        <f aca="false">IF(AND(ISNUMBER($C12),AX$6&lt;=$C12,AX$6+6&gt;=$C12),"♦","")</f>
        <v/>
      </c>
      <c r="AY12" s="68" t="str">
        <f aca="false">IF(AND(ISNUMBER($C12),AY$6&lt;=$C12,AY$6+6&gt;=$C12),"♦","")</f>
        <v/>
      </c>
      <c r="AZ12" s="68" t="str">
        <f aca="false">IF(AND(ISNUMBER($C12),AZ$6&lt;=$C12,AZ$6+6&gt;=$C12),"♦","")</f>
        <v/>
      </c>
      <c r="BA12" s="68" t="str">
        <f aca="false">IF(AND(ISNUMBER($C12),BA$6&lt;=$C12,BA$6+6&gt;=$C12),"♦","")</f>
        <v/>
      </c>
      <c r="BB12" s="68" t="str">
        <f aca="false">IF(AND(ISNUMBER($C12),BB$6&lt;=$C12,BB$6+6&gt;=$C12),"♦","")</f>
        <v/>
      </c>
      <c r="BC12" s="68" t="str">
        <f aca="false">IF(AND(ISNUMBER($C12),BC$6&lt;=$C12,BC$6+6&gt;=$C12),"♦","")</f>
        <v/>
      </c>
      <c r="BD12" s="68" t="str">
        <f aca="false">IF(AND(ISNUMBER($C12),BD$6&lt;=$C12,BD$6+6&gt;=$C12),"♦","")</f>
        <v/>
      </c>
      <c r="BE12" s="68" t="str">
        <f aca="false">IF(AND(ISNUMBER($C12),BE$6&lt;=$C12,BE$6+6&gt;=$C12),"♦","")</f>
        <v/>
      </c>
      <c r="BF12" s="68" t="str">
        <f aca="false">IF(AND(ISNUMBER($C12),BF$6&lt;=$C12,BF$6+6&gt;=$C12),"♦","")</f>
        <v/>
      </c>
      <c r="BG12" s="68" t="str">
        <f aca="false">IF(AND(ISNUMBER($C12),BG$6&lt;=$C12,BG$6+6&gt;=$C12),"♦","")</f>
        <v/>
      </c>
      <c r="BH12" s="68" t="str">
        <f aca="false">IF(AND(ISNUMBER($C12),BH$6&lt;=$C12,BH$6+6&gt;=$C12),"♦","")</f>
        <v/>
      </c>
      <c r="BI12" s="68" t="str">
        <f aca="false">IF(AND(ISNUMBER($C12),BI$6&lt;=$C12,BI$6+6&gt;=$C12),"♦","")</f>
        <v/>
      </c>
      <c r="BJ12" s="68" t="str">
        <f aca="false">IF(AND(ISNUMBER($C12),BJ$6&lt;=$C12,BJ$6+6&gt;=$C12),"♦","")</f>
        <v/>
      </c>
    </row>
    <row r="13" customFormat="false" ht="15" hidden="false" customHeight="true" outlineLevel="0" collapsed="false">
      <c r="A13" s="64" t="str">
        <f aca="false">IF(Settings!B40="","",Settings!B40)</f>
        <v/>
      </c>
      <c r="B13" s="42" t="str">
        <f aca="false">IF(Settings!D40="","",Settings!D40)</f>
        <v/>
      </c>
      <c r="C13" s="65"/>
      <c r="D13" s="66"/>
      <c r="E13" s="66"/>
      <c r="F13" s="46" t="str">
        <f aca="false">IF(A13="","",SUMIFS(WBS!$H$6:$H$55,WBS!$B$6:$B$55,A13))</f>
        <v/>
      </c>
      <c r="G13" s="67" t="str">
        <f aca="false">IF(OR(D13="",E13=""),"",NETWORKDAYS(D13,E13,Feries))</f>
        <v/>
      </c>
      <c r="H13" s="42" t="str">
        <f aca="false">IF(A13="","",IFERROR(INDEX(Lot_type,MATCH(A13,Lot_nom,0)),"Game"))</f>
        <v/>
      </c>
      <c r="I13" s="42" t="s">
        <v>341</v>
      </c>
      <c r="J13" s="68" t="str">
        <f aca="false">IF(AND(ISNUMBER($C13),J$6&lt;=$C13,J$6+6&gt;=$C13),"♦","")</f>
        <v/>
      </c>
      <c r="K13" s="68" t="str">
        <f aca="false">IF(AND(ISNUMBER($C13),K$6&lt;=$C13,K$6+6&gt;=$C13),"♦","")</f>
        <v/>
      </c>
      <c r="L13" s="68" t="str">
        <f aca="false">IF(AND(ISNUMBER($C13),L$6&lt;=$C13,L$6+6&gt;=$C13),"♦","")</f>
        <v/>
      </c>
      <c r="M13" s="68" t="str">
        <f aca="false">IF(AND(ISNUMBER($C13),M$6&lt;=$C13,M$6+6&gt;=$C13),"♦","")</f>
        <v/>
      </c>
      <c r="N13" s="68" t="str">
        <f aca="false">IF(AND(ISNUMBER($C13),N$6&lt;=$C13,N$6+6&gt;=$C13),"♦","")</f>
        <v/>
      </c>
      <c r="O13" s="68" t="str">
        <f aca="false">IF(AND(ISNUMBER($C13),O$6&lt;=$C13,O$6+6&gt;=$C13),"♦","")</f>
        <v/>
      </c>
      <c r="P13" s="68" t="str">
        <f aca="false">IF(AND(ISNUMBER($C13),P$6&lt;=$C13,P$6+6&gt;=$C13),"♦","")</f>
        <v/>
      </c>
      <c r="Q13" s="68" t="str">
        <f aca="false">IF(AND(ISNUMBER($C13),Q$6&lt;=$C13,Q$6+6&gt;=$C13),"♦","")</f>
        <v/>
      </c>
      <c r="R13" s="68" t="str">
        <f aca="false">IF(AND(ISNUMBER($C13),R$6&lt;=$C13,R$6+6&gt;=$C13),"♦","")</f>
        <v/>
      </c>
      <c r="S13" s="68" t="str">
        <f aca="false">IF(AND(ISNUMBER($C13),S$6&lt;=$C13,S$6+6&gt;=$C13),"♦","")</f>
        <v/>
      </c>
      <c r="T13" s="68" t="str">
        <f aca="false">IF(AND(ISNUMBER($C13),T$6&lt;=$C13,T$6+6&gt;=$C13),"♦","")</f>
        <v/>
      </c>
      <c r="U13" s="68" t="str">
        <f aca="false">IF(AND(ISNUMBER($C13),U$6&lt;=$C13,U$6+6&gt;=$C13),"♦","")</f>
        <v/>
      </c>
      <c r="V13" s="68" t="str">
        <f aca="false">IF(AND(ISNUMBER($C13),V$6&lt;=$C13,V$6+6&gt;=$C13),"♦","")</f>
        <v/>
      </c>
      <c r="W13" s="68" t="str">
        <f aca="false">IF(AND(ISNUMBER($C13),W$6&lt;=$C13,W$6+6&gt;=$C13),"♦","")</f>
        <v/>
      </c>
      <c r="X13" s="68" t="str">
        <f aca="false">IF(AND(ISNUMBER($C13),X$6&lt;=$C13,X$6+6&gt;=$C13),"♦","")</f>
        <v/>
      </c>
      <c r="Y13" s="68" t="str">
        <f aca="false">IF(AND(ISNUMBER($C13),Y$6&lt;=$C13,Y$6+6&gt;=$C13),"♦","")</f>
        <v/>
      </c>
      <c r="Z13" s="68" t="str">
        <f aca="false">IF(AND(ISNUMBER($C13),Z$6&lt;=$C13,Z$6+6&gt;=$C13),"♦","")</f>
        <v/>
      </c>
      <c r="AA13" s="68" t="str">
        <f aca="false">IF(AND(ISNUMBER($C13),AA$6&lt;=$C13,AA$6+6&gt;=$C13),"♦","")</f>
        <v/>
      </c>
      <c r="AB13" s="68" t="str">
        <f aca="false">IF(AND(ISNUMBER($C13),AB$6&lt;=$C13,AB$6+6&gt;=$C13),"♦","")</f>
        <v/>
      </c>
      <c r="AC13" s="68" t="str">
        <f aca="false">IF(AND(ISNUMBER($C13),AC$6&lt;=$C13,AC$6+6&gt;=$C13),"♦","")</f>
        <v/>
      </c>
      <c r="AD13" s="68" t="str">
        <f aca="false">IF(AND(ISNUMBER($C13),AD$6&lt;=$C13,AD$6+6&gt;=$C13),"♦","")</f>
        <v/>
      </c>
      <c r="AE13" s="68" t="str">
        <f aca="false">IF(AND(ISNUMBER($C13),AE$6&lt;=$C13,AE$6+6&gt;=$C13),"♦","")</f>
        <v/>
      </c>
      <c r="AF13" s="68" t="str">
        <f aca="false">IF(AND(ISNUMBER($C13),AF$6&lt;=$C13,AF$6+6&gt;=$C13),"♦","")</f>
        <v/>
      </c>
      <c r="AG13" s="68" t="str">
        <f aca="false">IF(AND(ISNUMBER($C13),AG$6&lt;=$C13,AG$6+6&gt;=$C13),"♦","")</f>
        <v/>
      </c>
      <c r="AH13" s="68" t="str">
        <f aca="false">IF(AND(ISNUMBER($C13),AH$6&lt;=$C13,AH$6+6&gt;=$C13),"♦","")</f>
        <v/>
      </c>
      <c r="AI13" s="68" t="str">
        <f aca="false">IF(AND(ISNUMBER($C13),AI$6&lt;=$C13,AI$6+6&gt;=$C13),"♦","")</f>
        <v/>
      </c>
      <c r="AJ13" s="68" t="str">
        <f aca="false">IF(AND(ISNUMBER($C13),AJ$6&lt;=$C13,AJ$6+6&gt;=$C13),"♦","")</f>
        <v/>
      </c>
      <c r="AK13" s="68" t="str">
        <f aca="false">IF(AND(ISNUMBER($C13),AK$6&lt;=$C13,AK$6+6&gt;=$C13),"♦","")</f>
        <v/>
      </c>
      <c r="AL13" s="68" t="str">
        <f aca="false">IF(AND(ISNUMBER($C13),AL$6&lt;=$C13,AL$6+6&gt;=$C13),"♦","")</f>
        <v/>
      </c>
      <c r="AM13" s="68" t="str">
        <f aca="false">IF(AND(ISNUMBER($C13),AM$6&lt;=$C13,AM$6+6&gt;=$C13),"♦","")</f>
        <v/>
      </c>
      <c r="AN13" s="68" t="str">
        <f aca="false">IF(AND(ISNUMBER($C13),AN$6&lt;=$C13,AN$6+6&gt;=$C13),"♦","")</f>
        <v/>
      </c>
      <c r="AO13" s="68" t="str">
        <f aca="false">IF(AND(ISNUMBER($C13),AO$6&lt;=$C13,AO$6+6&gt;=$C13),"♦","")</f>
        <v/>
      </c>
      <c r="AP13" s="68" t="str">
        <f aca="false">IF(AND(ISNUMBER($C13),AP$6&lt;=$C13,AP$6+6&gt;=$C13),"♦","")</f>
        <v/>
      </c>
      <c r="AQ13" s="68" t="str">
        <f aca="false">IF(AND(ISNUMBER($C13),AQ$6&lt;=$C13,AQ$6+6&gt;=$C13),"♦","")</f>
        <v/>
      </c>
      <c r="AR13" s="68" t="str">
        <f aca="false">IF(AND(ISNUMBER($C13),AR$6&lt;=$C13,AR$6+6&gt;=$C13),"♦","")</f>
        <v/>
      </c>
      <c r="AS13" s="68" t="str">
        <f aca="false">IF(AND(ISNUMBER($C13),AS$6&lt;=$C13,AS$6+6&gt;=$C13),"♦","")</f>
        <v/>
      </c>
      <c r="AT13" s="68" t="str">
        <f aca="false">IF(AND(ISNUMBER($C13),AT$6&lt;=$C13,AT$6+6&gt;=$C13),"♦","")</f>
        <v/>
      </c>
      <c r="AU13" s="68" t="str">
        <f aca="false">IF(AND(ISNUMBER($C13),AU$6&lt;=$C13,AU$6+6&gt;=$C13),"♦","")</f>
        <v/>
      </c>
      <c r="AV13" s="68" t="str">
        <f aca="false">IF(AND(ISNUMBER($C13),AV$6&lt;=$C13,AV$6+6&gt;=$C13),"♦","")</f>
        <v/>
      </c>
      <c r="AW13" s="68" t="str">
        <f aca="false">IF(AND(ISNUMBER($C13),AW$6&lt;=$C13,AW$6+6&gt;=$C13),"♦","")</f>
        <v/>
      </c>
      <c r="AX13" s="68" t="str">
        <f aca="false">IF(AND(ISNUMBER($C13),AX$6&lt;=$C13,AX$6+6&gt;=$C13),"♦","")</f>
        <v/>
      </c>
      <c r="AY13" s="68" t="str">
        <f aca="false">IF(AND(ISNUMBER($C13),AY$6&lt;=$C13,AY$6+6&gt;=$C13),"♦","")</f>
        <v/>
      </c>
      <c r="AZ13" s="68" t="str">
        <f aca="false">IF(AND(ISNUMBER($C13),AZ$6&lt;=$C13,AZ$6+6&gt;=$C13),"♦","")</f>
        <v/>
      </c>
      <c r="BA13" s="68" t="str">
        <f aca="false">IF(AND(ISNUMBER($C13),BA$6&lt;=$C13,BA$6+6&gt;=$C13),"♦","")</f>
        <v/>
      </c>
      <c r="BB13" s="68" t="str">
        <f aca="false">IF(AND(ISNUMBER($C13),BB$6&lt;=$C13,BB$6+6&gt;=$C13),"♦","")</f>
        <v/>
      </c>
      <c r="BC13" s="68" t="str">
        <f aca="false">IF(AND(ISNUMBER($C13),BC$6&lt;=$C13,BC$6+6&gt;=$C13),"♦","")</f>
        <v/>
      </c>
      <c r="BD13" s="68" t="str">
        <f aca="false">IF(AND(ISNUMBER($C13),BD$6&lt;=$C13,BD$6+6&gt;=$C13),"♦","")</f>
        <v/>
      </c>
      <c r="BE13" s="68" t="str">
        <f aca="false">IF(AND(ISNUMBER($C13),BE$6&lt;=$C13,BE$6+6&gt;=$C13),"♦","")</f>
        <v/>
      </c>
      <c r="BF13" s="68" t="str">
        <f aca="false">IF(AND(ISNUMBER($C13),BF$6&lt;=$C13,BF$6+6&gt;=$C13),"♦","")</f>
        <v/>
      </c>
      <c r="BG13" s="68" t="str">
        <f aca="false">IF(AND(ISNUMBER($C13),BG$6&lt;=$C13,BG$6+6&gt;=$C13),"♦","")</f>
        <v/>
      </c>
      <c r="BH13" s="68" t="str">
        <f aca="false">IF(AND(ISNUMBER($C13),BH$6&lt;=$C13,BH$6+6&gt;=$C13),"♦","")</f>
        <v/>
      </c>
      <c r="BI13" s="68" t="str">
        <f aca="false">IF(AND(ISNUMBER($C13),BI$6&lt;=$C13,BI$6+6&gt;=$C13),"♦","")</f>
        <v/>
      </c>
      <c r="BJ13" s="68" t="str">
        <f aca="false">IF(AND(ISNUMBER($C13),BJ$6&lt;=$C13,BJ$6+6&gt;=$C13),"♦","")</f>
        <v/>
      </c>
    </row>
    <row r="14" customFormat="false" ht="15" hidden="false" customHeight="true" outlineLevel="0" collapsed="false">
      <c r="A14" s="64" t="str">
        <f aca="false">IF(Settings!B41="","",Settings!B41)</f>
        <v/>
      </c>
      <c r="B14" s="42" t="str">
        <f aca="false">IF(Settings!D41="","",Settings!D41)</f>
        <v/>
      </c>
      <c r="C14" s="65"/>
      <c r="D14" s="66"/>
      <c r="E14" s="66"/>
      <c r="F14" s="46" t="str">
        <f aca="false">IF(A14="","",SUMIFS(WBS!$H$6:$H$55,WBS!$B$6:$B$55,A14))</f>
        <v/>
      </c>
      <c r="G14" s="67" t="str">
        <f aca="false">IF(OR(D14="",E14=""),"",NETWORKDAYS(D14,E14,Feries))</f>
        <v/>
      </c>
      <c r="H14" s="42" t="str">
        <f aca="false">IF(A14="","",IFERROR(INDEX(Lot_type,MATCH(A14,Lot_nom,0)),"Game"))</f>
        <v/>
      </c>
      <c r="I14" s="42" t="s">
        <v>341</v>
      </c>
      <c r="J14" s="68" t="str">
        <f aca="false">IF(AND(ISNUMBER($C14),J$6&lt;=$C14,J$6+6&gt;=$C14),"♦","")</f>
        <v/>
      </c>
      <c r="K14" s="68" t="str">
        <f aca="false">IF(AND(ISNUMBER($C14),K$6&lt;=$C14,K$6+6&gt;=$C14),"♦","")</f>
        <v/>
      </c>
      <c r="L14" s="68" t="str">
        <f aca="false">IF(AND(ISNUMBER($C14),L$6&lt;=$C14,L$6+6&gt;=$C14),"♦","")</f>
        <v/>
      </c>
      <c r="M14" s="68" t="str">
        <f aca="false">IF(AND(ISNUMBER($C14),M$6&lt;=$C14,M$6+6&gt;=$C14),"♦","")</f>
        <v/>
      </c>
      <c r="N14" s="68" t="str">
        <f aca="false">IF(AND(ISNUMBER($C14),N$6&lt;=$C14,N$6+6&gt;=$C14),"♦","")</f>
        <v/>
      </c>
      <c r="O14" s="68" t="str">
        <f aca="false">IF(AND(ISNUMBER($C14),O$6&lt;=$C14,O$6+6&gt;=$C14),"♦","")</f>
        <v/>
      </c>
      <c r="P14" s="68" t="str">
        <f aca="false">IF(AND(ISNUMBER($C14),P$6&lt;=$C14,P$6+6&gt;=$C14),"♦","")</f>
        <v/>
      </c>
      <c r="Q14" s="68" t="str">
        <f aca="false">IF(AND(ISNUMBER($C14),Q$6&lt;=$C14,Q$6+6&gt;=$C14),"♦","")</f>
        <v/>
      </c>
      <c r="R14" s="68" t="str">
        <f aca="false">IF(AND(ISNUMBER($C14),R$6&lt;=$C14,R$6+6&gt;=$C14),"♦","")</f>
        <v/>
      </c>
      <c r="S14" s="68" t="str">
        <f aca="false">IF(AND(ISNUMBER($C14),S$6&lt;=$C14,S$6+6&gt;=$C14),"♦","")</f>
        <v/>
      </c>
      <c r="T14" s="68" t="str">
        <f aca="false">IF(AND(ISNUMBER($C14),T$6&lt;=$C14,T$6+6&gt;=$C14),"♦","")</f>
        <v/>
      </c>
      <c r="U14" s="68" t="str">
        <f aca="false">IF(AND(ISNUMBER($C14),U$6&lt;=$C14,U$6+6&gt;=$C14),"♦","")</f>
        <v/>
      </c>
      <c r="V14" s="68" t="str">
        <f aca="false">IF(AND(ISNUMBER($C14),V$6&lt;=$C14,V$6+6&gt;=$C14),"♦","")</f>
        <v/>
      </c>
      <c r="W14" s="68" t="str">
        <f aca="false">IF(AND(ISNUMBER($C14),W$6&lt;=$C14,W$6+6&gt;=$C14),"♦","")</f>
        <v/>
      </c>
      <c r="X14" s="68" t="str">
        <f aca="false">IF(AND(ISNUMBER($C14),X$6&lt;=$C14,X$6+6&gt;=$C14),"♦","")</f>
        <v/>
      </c>
      <c r="Y14" s="68" t="str">
        <f aca="false">IF(AND(ISNUMBER($C14),Y$6&lt;=$C14,Y$6+6&gt;=$C14),"♦","")</f>
        <v/>
      </c>
      <c r="Z14" s="68" t="str">
        <f aca="false">IF(AND(ISNUMBER($C14),Z$6&lt;=$C14,Z$6+6&gt;=$C14),"♦","")</f>
        <v/>
      </c>
      <c r="AA14" s="68" t="str">
        <f aca="false">IF(AND(ISNUMBER($C14),AA$6&lt;=$C14,AA$6+6&gt;=$C14),"♦","")</f>
        <v/>
      </c>
      <c r="AB14" s="68" t="str">
        <f aca="false">IF(AND(ISNUMBER($C14),AB$6&lt;=$C14,AB$6+6&gt;=$C14),"♦","")</f>
        <v/>
      </c>
      <c r="AC14" s="68" t="str">
        <f aca="false">IF(AND(ISNUMBER($C14),AC$6&lt;=$C14,AC$6+6&gt;=$C14),"♦","")</f>
        <v/>
      </c>
      <c r="AD14" s="68" t="str">
        <f aca="false">IF(AND(ISNUMBER($C14),AD$6&lt;=$C14,AD$6+6&gt;=$C14),"♦","")</f>
        <v/>
      </c>
      <c r="AE14" s="68" t="str">
        <f aca="false">IF(AND(ISNUMBER($C14),AE$6&lt;=$C14,AE$6+6&gt;=$C14),"♦","")</f>
        <v/>
      </c>
      <c r="AF14" s="68" t="str">
        <f aca="false">IF(AND(ISNUMBER($C14),AF$6&lt;=$C14,AF$6+6&gt;=$C14),"♦","")</f>
        <v/>
      </c>
      <c r="AG14" s="68" t="str">
        <f aca="false">IF(AND(ISNUMBER($C14),AG$6&lt;=$C14,AG$6+6&gt;=$C14),"♦","")</f>
        <v/>
      </c>
      <c r="AH14" s="68" t="str">
        <f aca="false">IF(AND(ISNUMBER($C14),AH$6&lt;=$C14,AH$6+6&gt;=$C14),"♦","")</f>
        <v/>
      </c>
      <c r="AI14" s="68" t="str">
        <f aca="false">IF(AND(ISNUMBER($C14),AI$6&lt;=$C14,AI$6+6&gt;=$C14),"♦","")</f>
        <v/>
      </c>
      <c r="AJ14" s="68" t="str">
        <f aca="false">IF(AND(ISNUMBER($C14),AJ$6&lt;=$C14,AJ$6+6&gt;=$C14),"♦","")</f>
        <v/>
      </c>
      <c r="AK14" s="68" t="str">
        <f aca="false">IF(AND(ISNUMBER($C14),AK$6&lt;=$C14,AK$6+6&gt;=$C14),"♦","")</f>
        <v/>
      </c>
      <c r="AL14" s="68" t="str">
        <f aca="false">IF(AND(ISNUMBER($C14),AL$6&lt;=$C14,AL$6+6&gt;=$C14),"♦","")</f>
        <v/>
      </c>
      <c r="AM14" s="68" t="str">
        <f aca="false">IF(AND(ISNUMBER($C14),AM$6&lt;=$C14,AM$6+6&gt;=$C14),"♦","")</f>
        <v/>
      </c>
      <c r="AN14" s="68" t="str">
        <f aca="false">IF(AND(ISNUMBER($C14),AN$6&lt;=$C14,AN$6+6&gt;=$C14),"♦","")</f>
        <v/>
      </c>
      <c r="AO14" s="68" t="str">
        <f aca="false">IF(AND(ISNUMBER($C14),AO$6&lt;=$C14,AO$6+6&gt;=$C14),"♦","")</f>
        <v/>
      </c>
      <c r="AP14" s="68" t="str">
        <f aca="false">IF(AND(ISNUMBER($C14),AP$6&lt;=$C14,AP$6+6&gt;=$C14),"♦","")</f>
        <v/>
      </c>
      <c r="AQ14" s="68" t="str">
        <f aca="false">IF(AND(ISNUMBER($C14),AQ$6&lt;=$C14,AQ$6+6&gt;=$C14),"♦","")</f>
        <v/>
      </c>
      <c r="AR14" s="68" t="str">
        <f aca="false">IF(AND(ISNUMBER($C14),AR$6&lt;=$C14,AR$6+6&gt;=$C14),"♦","")</f>
        <v/>
      </c>
      <c r="AS14" s="68" t="str">
        <f aca="false">IF(AND(ISNUMBER($C14),AS$6&lt;=$C14,AS$6+6&gt;=$C14),"♦","")</f>
        <v/>
      </c>
      <c r="AT14" s="68" t="str">
        <f aca="false">IF(AND(ISNUMBER($C14),AT$6&lt;=$C14,AT$6+6&gt;=$C14),"♦","")</f>
        <v/>
      </c>
      <c r="AU14" s="68" t="str">
        <f aca="false">IF(AND(ISNUMBER($C14),AU$6&lt;=$C14,AU$6+6&gt;=$C14),"♦","")</f>
        <v/>
      </c>
      <c r="AV14" s="68" t="str">
        <f aca="false">IF(AND(ISNUMBER($C14),AV$6&lt;=$C14,AV$6+6&gt;=$C14),"♦","")</f>
        <v/>
      </c>
      <c r="AW14" s="68" t="str">
        <f aca="false">IF(AND(ISNUMBER($C14),AW$6&lt;=$C14,AW$6+6&gt;=$C14),"♦","")</f>
        <v/>
      </c>
      <c r="AX14" s="68" t="str">
        <f aca="false">IF(AND(ISNUMBER($C14),AX$6&lt;=$C14,AX$6+6&gt;=$C14),"♦","")</f>
        <v/>
      </c>
      <c r="AY14" s="68" t="str">
        <f aca="false">IF(AND(ISNUMBER($C14),AY$6&lt;=$C14,AY$6+6&gt;=$C14),"♦","")</f>
        <v/>
      </c>
      <c r="AZ14" s="68" t="str">
        <f aca="false">IF(AND(ISNUMBER($C14),AZ$6&lt;=$C14,AZ$6+6&gt;=$C14),"♦","")</f>
        <v/>
      </c>
      <c r="BA14" s="68" t="str">
        <f aca="false">IF(AND(ISNUMBER($C14),BA$6&lt;=$C14,BA$6+6&gt;=$C14),"♦","")</f>
        <v/>
      </c>
      <c r="BB14" s="68" t="str">
        <f aca="false">IF(AND(ISNUMBER($C14),BB$6&lt;=$C14,BB$6+6&gt;=$C14),"♦","")</f>
        <v/>
      </c>
      <c r="BC14" s="68" t="str">
        <f aca="false">IF(AND(ISNUMBER($C14),BC$6&lt;=$C14,BC$6+6&gt;=$C14),"♦","")</f>
        <v/>
      </c>
      <c r="BD14" s="68" t="str">
        <f aca="false">IF(AND(ISNUMBER($C14),BD$6&lt;=$C14,BD$6+6&gt;=$C14),"♦","")</f>
        <v/>
      </c>
      <c r="BE14" s="68" t="str">
        <f aca="false">IF(AND(ISNUMBER($C14),BE$6&lt;=$C14,BE$6+6&gt;=$C14),"♦","")</f>
        <v/>
      </c>
      <c r="BF14" s="68" t="str">
        <f aca="false">IF(AND(ISNUMBER($C14),BF$6&lt;=$C14,BF$6+6&gt;=$C14),"♦","")</f>
        <v/>
      </c>
      <c r="BG14" s="68" t="str">
        <f aca="false">IF(AND(ISNUMBER($C14),BG$6&lt;=$C14,BG$6+6&gt;=$C14),"♦","")</f>
        <v/>
      </c>
      <c r="BH14" s="68" t="str">
        <f aca="false">IF(AND(ISNUMBER($C14),BH$6&lt;=$C14,BH$6+6&gt;=$C14),"♦","")</f>
        <v/>
      </c>
      <c r="BI14" s="68" t="str">
        <f aca="false">IF(AND(ISNUMBER($C14),BI$6&lt;=$C14,BI$6+6&gt;=$C14),"♦","")</f>
        <v/>
      </c>
      <c r="BJ14" s="68" t="str">
        <f aca="false">IF(AND(ISNUMBER($C14),BJ$6&lt;=$C14,BJ$6+6&gt;=$C14),"♦","")</f>
        <v/>
      </c>
    </row>
    <row r="15" customFormat="false" ht="15" hidden="false" customHeight="true" outlineLevel="0" collapsed="false">
      <c r="A15" s="64" t="s">
        <v>118</v>
      </c>
      <c r="B15" s="42" t="s">
        <v>342</v>
      </c>
      <c r="C15" s="42"/>
      <c r="D15" s="66" t="n">
        <f aca="false">Debut</f>
        <v>46327</v>
      </c>
      <c r="E15" s="66" t="n">
        <f aca="false">J_Sortie</f>
        <v>46674</v>
      </c>
      <c r="F15" s="46" t="n">
        <f aca="false">WBS!H58</f>
        <v>21879</v>
      </c>
      <c r="G15" s="67" t="n">
        <f aca="false">IF(OR(D15="",E15=""),"",NETWORKDAYS(D15,E15,Feries))</f>
        <v>228</v>
      </c>
      <c r="H15" s="42" t="s">
        <v>118</v>
      </c>
      <c r="I15" s="42" t="s">
        <v>343</v>
      </c>
      <c r="J15" s="68" t="str">
        <f aca="false">IF(AND(ISNUMBER($C15),J$6&lt;=$C15,J$6+6&gt;=$C15),"♦","")</f>
        <v/>
      </c>
      <c r="K15" s="68" t="str">
        <f aca="false">IF(AND(ISNUMBER($C15),K$6&lt;=$C15,K$6+6&gt;=$C15),"♦","")</f>
        <v/>
      </c>
      <c r="L15" s="68" t="str">
        <f aca="false">IF(AND(ISNUMBER($C15),L$6&lt;=$C15,L$6+6&gt;=$C15),"♦","")</f>
        <v/>
      </c>
      <c r="M15" s="68" t="str">
        <f aca="false">IF(AND(ISNUMBER($C15),M$6&lt;=$C15,M$6+6&gt;=$C15),"♦","")</f>
        <v/>
      </c>
      <c r="N15" s="68" t="str">
        <f aca="false">IF(AND(ISNUMBER($C15),N$6&lt;=$C15,N$6+6&gt;=$C15),"♦","")</f>
        <v/>
      </c>
      <c r="O15" s="68" t="str">
        <f aca="false">IF(AND(ISNUMBER($C15),O$6&lt;=$C15,O$6+6&gt;=$C15),"♦","")</f>
        <v/>
      </c>
      <c r="P15" s="68" t="str">
        <f aca="false">IF(AND(ISNUMBER($C15),P$6&lt;=$C15,P$6+6&gt;=$C15),"♦","")</f>
        <v/>
      </c>
      <c r="Q15" s="68" t="str">
        <f aca="false">IF(AND(ISNUMBER($C15),Q$6&lt;=$C15,Q$6+6&gt;=$C15),"♦","")</f>
        <v/>
      </c>
      <c r="R15" s="68" t="str">
        <f aca="false">IF(AND(ISNUMBER($C15),R$6&lt;=$C15,R$6+6&gt;=$C15),"♦","")</f>
        <v/>
      </c>
      <c r="S15" s="68" t="str">
        <f aca="false">IF(AND(ISNUMBER($C15),S$6&lt;=$C15,S$6+6&gt;=$C15),"♦","")</f>
        <v/>
      </c>
      <c r="T15" s="68" t="str">
        <f aca="false">IF(AND(ISNUMBER($C15),T$6&lt;=$C15,T$6+6&gt;=$C15),"♦","")</f>
        <v/>
      </c>
      <c r="U15" s="68" t="str">
        <f aca="false">IF(AND(ISNUMBER($C15),U$6&lt;=$C15,U$6+6&gt;=$C15),"♦","")</f>
        <v/>
      </c>
      <c r="V15" s="68" t="str">
        <f aca="false">IF(AND(ISNUMBER($C15),V$6&lt;=$C15,V$6+6&gt;=$C15),"♦","")</f>
        <v/>
      </c>
      <c r="W15" s="68" t="str">
        <f aca="false">IF(AND(ISNUMBER($C15),W$6&lt;=$C15,W$6+6&gt;=$C15),"♦","")</f>
        <v/>
      </c>
      <c r="X15" s="68" t="str">
        <f aca="false">IF(AND(ISNUMBER($C15),X$6&lt;=$C15,X$6+6&gt;=$C15),"♦","")</f>
        <v/>
      </c>
      <c r="Y15" s="68" t="str">
        <f aca="false">IF(AND(ISNUMBER($C15),Y$6&lt;=$C15,Y$6+6&gt;=$C15),"♦","")</f>
        <v/>
      </c>
      <c r="Z15" s="68" t="str">
        <f aca="false">IF(AND(ISNUMBER($C15),Z$6&lt;=$C15,Z$6+6&gt;=$C15),"♦","")</f>
        <v/>
      </c>
      <c r="AA15" s="68" t="str">
        <f aca="false">IF(AND(ISNUMBER($C15),AA$6&lt;=$C15,AA$6+6&gt;=$C15),"♦","")</f>
        <v/>
      </c>
      <c r="AB15" s="68" t="str">
        <f aca="false">IF(AND(ISNUMBER($C15),AB$6&lt;=$C15,AB$6+6&gt;=$C15),"♦","")</f>
        <v/>
      </c>
      <c r="AC15" s="68" t="str">
        <f aca="false">IF(AND(ISNUMBER($C15),AC$6&lt;=$C15,AC$6+6&gt;=$C15),"♦","")</f>
        <v/>
      </c>
      <c r="AD15" s="68" t="str">
        <f aca="false">IF(AND(ISNUMBER($C15),AD$6&lt;=$C15,AD$6+6&gt;=$C15),"♦","")</f>
        <v/>
      </c>
      <c r="AE15" s="68" t="str">
        <f aca="false">IF(AND(ISNUMBER($C15),AE$6&lt;=$C15,AE$6+6&gt;=$C15),"♦","")</f>
        <v/>
      </c>
      <c r="AF15" s="68" t="str">
        <f aca="false">IF(AND(ISNUMBER($C15),AF$6&lt;=$C15,AF$6+6&gt;=$C15),"♦","")</f>
        <v/>
      </c>
      <c r="AG15" s="68" t="str">
        <f aca="false">IF(AND(ISNUMBER($C15),AG$6&lt;=$C15,AG$6+6&gt;=$C15),"♦","")</f>
        <v/>
      </c>
      <c r="AH15" s="68" t="str">
        <f aca="false">IF(AND(ISNUMBER($C15),AH$6&lt;=$C15,AH$6+6&gt;=$C15),"♦","")</f>
        <v/>
      </c>
      <c r="AI15" s="68" t="str">
        <f aca="false">IF(AND(ISNUMBER($C15),AI$6&lt;=$C15,AI$6+6&gt;=$C15),"♦","")</f>
        <v/>
      </c>
      <c r="AJ15" s="68" t="str">
        <f aca="false">IF(AND(ISNUMBER($C15),AJ$6&lt;=$C15,AJ$6+6&gt;=$C15),"♦","")</f>
        <v/>
      </c>
      <c r="AK15" s="68" t="str">
        <f aca="false">IF(AND(ISNUMBER($C15),AK$6&lt;=$C15,AK$6+6&gt;=$C15),"♦","")</f>
        <v/>
      </c>
      <c r="AL15" s="68" t="str">
        <f aca="false">IF(AND(ISNUMBER($C15),AL$6&lt;=$C15,AL$6+6&gt;=$C15),"♦","")</f>
        <v/>
      </c>
      <c r="AM15" s="68" t="str">
        <f aca="false">IF(AND(ISNUMBER($C15),AM$6&lt;=$C15,AM$6+6&gt;=$C15),"♦","")</f>
        <v/>
      </c>
      <c r="AN15" s="68" t="str">
        <f aca="false">IF(AND(ISNUMBER($C15),AN$6&lt;=$C15,AN$6+6&gt;=$C15),"♦","")</f>
        <v/>
      </c>
      <c r="AO15" s="68" t="str">
        <f aca="false">IF(AND(ISNUMBER($C15),AO$6&lt;=$C15,AO$6+6&gt;=$C15),"♦","")</f>
        <v/>
      </c>
      <c r="AP15" s="68" t="str">
        <f aca="false">IF(AND(ISNUMBER($C15),AP$6&lt;=$C15,AP$6+6&gt;=$C15),"♦","")</f>
        <v/>
      </c>
      <c r="AQ15" s="68" t="str">
        <f aca="false">IF(AND(ISNUMBER($C15),AQ$6&lt;=$C15,AQ$6+6&gt;=$C15),"♦","")</f>
        <v/>
      </c>
      <c r="AR15" s="68" t="str">
        <f aca="false">IF(AND(ISNUMBER($C15),AR$6&lt;=$C15,AR$6+6&gt;=$C15),"♦","")</f>
        <v/>
      </c>
      <c r="AS15" s="68" t="str">
        <f aca="false">IF(AND(ISNUMBER($C15),AS$6&lt;=$C15,AS$6+6&gt;=$C15),"♦","")</f>
        <v/>
      </c>
      <c r="AT15" s="68" t="str">
        <f aca="false">IF(AND(ISNUMBER($C15),AT$6&lt;=$C15,AT$6+6&gt;=$C15),"♦","")</f>
        <v/>
      </c>
      <c r="AU15" s="68" t="str">
        <f aca="false">IF(AND(ISNUMBER($C15),AU$6&lt;=$C15,AU$6+6&gt;=$C15),"♦","")</f>
        <v/>
      </c>
      <c r="AV15" s="68" t="str">
        <f aca="false">IF(AND(ISNUMBER($C15),AV$6&lt;=$C15,AV$6+6&gt;=$C15),"♦","")</f>
        <v/>
      </c>
      <c r="AW15" s="68" t="str">
        <f aca="false">IF(AND(ISNUMBER($C15),AW$6&lt;=$C15,AW$6+6&gt;=$C15),"♦","")</f>
        <v/>
      </c>
      <c r="AX15" s="68" t="str">
        <f aca="false">IF(AND(ISNUMBER($C15),AX$6&lt;=$C15,AX$6+6&gt;=$C15),"♦","")</f>
        <v/>
      </c>
      <c r="AY15" s="68" t="str">
        <f aca="false">IF(AND(ISNUMBER($C15),AY$6&lt;=$C15,AY$6+6&gt;=$C15),"♦","")</f>
        <v/>
      </c>
      <c r="AZ15" s="68" t="str">
        <f aca="false">IF(AND(ISNUMBER($C15),AZ$6&lt;=$C15,AZ$6+6&gt;=$C15),"♦","")</f>
        <v/>
      </c>
      <c r="BA15" s="68" t="str">
        <f aca="false">IF(AND(ISNUMBER($C15),BA$6&lt;=$C15,BA$6+6&gt;=$C15),"♦","")</f>
        <v/>
      </c>
      <c r="BB15" s="68" t="str">
        <f aca="false">IF(AND(ISNUMBER($C15),BB$6&lt;=$C15,BB$6+6&gt;=$C15),"♦","")</f>
        <v/>
      </c>
      <c r="BC15" s="68" t="str">
        <f aca="false">IF(AND(ISNUMBER($C15),BC$6&lt;=$C15,BC$6+6&gt;=$C15),"♦","")</f>
        <v/>
      </c>
      <c r="BD15" s="68" t="str">
        <f aca="false">IF(AND(ISNUMBER($C15),BD$6&lt;=$C15,BD$6+6&gt;=$C15),"♦","")</f>
        <v/>
      </c>
      <c r="BE15" s="68" t="str">
        <f aca="false">IF(AND(ISNUMBER($C15),BE$6&lt;=$C15,BE$6+6&gt;=$C15),"♦","")</f>
        <v/>
      </c>
      <c r="BF15" s="68" t="str">
        <f aca="false">IF(AND(ISNUMBER($C15),BF$6&lt;=$C15,BF$6+6&gt;=$C15),"♦","")</f>
        <v/>
      </c>
      <c r="BG15" s="68" t="str">
        <f aca="false">IF(AND(ISNUMBER($C15),BG$6&lt;=$C15,BG$6+6&gt;=$C15),"♦","")</f>
        <v/>
      </c>
      <c r="BH15" s="68" t="str">
        <f aca="false">IF(AND(ISNUMBER($C15),BH$6&lt;=$C15,BH$6+6&gt;=$C15),"♦","")</f>
        <v/>
      </c>
      <c r="BI15" s="68" t="str">
        <f aca="false">IF(AND(ISNUMBER($C15),BI$6&lt;=$C15,BI$6+6&gt;=$C15),"♦","")</f>
        <v/>
      </c>
      <c r="BJ15" s="68" t="str">
        <f aca="false">IF(AND(ISNUMBER($C15),BJ$6&lt;=$C15,BJ$6+6&gt;=$C15),"♦","")</f>
        <v/>
      </c>
    </row>
    <row r="16" customFormat="false" ht="15" hidden="false" customHeight="true" outlineLevel="0" collapsed="false">
      <c r="A16" s="69" t="s">
        <v>344</v>
      </c>
      <c r="B16" s="69"/>
      <c r="C16" s="69"/>
      <c r="D16" s="69"/>
      <c r="E16" s="69"/>
      <c r="F16" s="69"/>
      <c r="G16" s="69"/>
      <c r="H16" s="69"/>
      <c r="I16" s="69"/>
    </row>
    <row r="17" customFormat="false" ht="15" hidden="false" customHeight="true" outlineLevel="0" collapsed="false">
      <c r="A17" s="23" t="s">
        <v>141</v>
      </c>
      <c r="B17" s="23" t="s">
        <v>345</v>
      </c>
      <c r="C17" s="66" t="n">
        <v>46472</v>
      </c>
      <c r="D17" s="66"/>
      <c r="E17" s="66"/>
      <c r="F17" s="42"/>
      <c r="G17" s="67" t="str">
        <f aca="false">IF(OR(D17="",E17=""),"",NETWORKDAYS(D17,E17,Feries))</f>
        <v/>
      </c>
      <c r="H17" s="42" t="str">
        <f aca="false">IF(A17="","",IFERROR(INDEX(Lot_type,MATCH(A17,Lot_nom,0)),"Game"))</f>
        <v>Game</v>
      </c>
      <c r="I17" s="42"/>
      <c r="J17" s="68" t="str">
        <f aca="false">IF(AND(ISNUMBER($C17),J$6&lt;=$C17,J$6+6&gt;=$C17),"♦","")</f>
        <v/>
      </c>
      <c r="K17" s="68" t="str">
        <f aca="false">IF(AND(ISNUMBER($C17),K$6&lt;=$C17,K$6+6&gt;=$C17),"♦","")</f>
        <v/>
      </c>
      <c r="L17" s="68" t="str">
        <f aca="false">IF(AND(ISNUMBER($C17),L$6&lt;=$C17,L$6+6&gt;=$C17),"♦","")</f>
        <v/>
      </c>
      <c r="M17" s="68" t="str">
        <f aca="false">IF(AND(ISNUMBER($C17),M$6&lt;=$C17,M$6+6&gt;=$C17),"♦","")</f>
        <v/>
      </c>
      <c r="N17" s="68" t="str">
        <f aca="false">IF(AND(ISNUMBER($C17),N$6&lt;=$C17,N$6+6&gt;=$C17),"♦","")</f>
        <v/>
      </c>
      <c r="O17" s="68" t="str">
        <f aca="false">IF(AND(ISNUMBER($C17),O$6&lt;=$C17,O$6+6&gt;=$C17),"♦","")</f>
        <v/>
      </c>
      <c r="P17" s="68" t="str">
        <f aca="false">IF(AND(ISNUMBER($C17),P$6&lt;=$C17,P$6+6&gt;=$C17),"♦","")</f>
        <v/>
      </c>
      <c r="Q17" s="68" t="str">
        <f aca="false">IF(AND(ISNUMBER($C17),Q$6&lt;=$C17,Q$6+6&gt;=$C17),"♦","")</f>
        <v/>
      </c>
      <c r="R17" s="68" t="str">
        <f aca="false">IF(AND(ISNUMBER($C17),R$6&lt;=$C17,R$6+6&gt;=$C17),"♦","")</f>
        <v/>
      </c>
      <c r="S17" s="68" t="str">
        <f aca="false">IF(AND(ISNUMBER($C17),S$6&lt;=$C17,S$6+6&gt;=$C17),"♦","")</f>
        <v/>
      </c>
      <c r="T17" s="68" t="str">
        <f aca="false">IF(AND(ISNUMBER($C17),T$6&lt;=$C17,T$6+6&gt;=$C17),"♦","")</f>
        <v/>
      </c>
      <c r="U17" s="68" t="str">
        <f aca="false">IF(AND(ISNUMBER($C17),U$6&lt;=$C17,U$6+6&gt;=$C17),"♦","")</f>
        <v/>
      </c>
      <c r="V17" s="68" t="str">
        <f aca="false">IF(AND(ISNUMBER($C17),V$6&lt;=$C17,V$6+6&gt;=$C17),"♦","")</f>
        <v/>
      </c>
      <c r="W17" s="68" t="str">
        <f aca="false">IF(AND(ISNUMBER($C17),W$6&lt;=$C17,W$6+6&gt;=$C17),"♦","")</f>
        <v/>
      </c>
      <c r="X17" s="68" t="str">
        <f aca="false">IF(AND(ISNUMBER($C17),X$6&lt;=$C17,X$6+6&gt;=$C17),"♦","")</f>
        <v/>
      </c>
      <c r="Y17" s="68" t="str">
        <f aca="false">IF(AND(ISNUMBER($C17),Y$6&lt;=$C17,Y$6+6&gt;=$C17),"♦","")</f>
        <v/>
      </c>
      <c r="Z17" s="68" t="str">
        <f aca="false">IF(AND(ISNUMBER($C17),Z$6&lt;=$C17,Z$6+6&gt;=$C17),"♦","")</f>
        <v/>
      </c>
      <c r="AA17" s="68" t="str">
        <f aca="false">IF(AND(ISNUMBER($C17),AA$6&lt;=$C17,AA$6+6&gt;=$C17),"♦","")</f>
        <v/>
      </c>
      <c r="AB17" s="68" t="str">
        <f aca="false">IF(AND(ISNUMBER($C17),AB$6&lt;=$C17,AB$6+6&gt;=$C17),"♦","")</f>
        <v/>
      </c>
      <c r="AC17" s="68" t="str">
        <f aca="false">IF(AND(ISNUMBER($C17),AC$6&lt;=$C17,AC$6+6&gt;=$C17),"♦","")</f>
        <v/>
      </c>
      <c r="AD17" s="68" t="str">
        <f aca="false">IF(AND(ISNUMBER($C17),AD$6&lt;=$C17,AD$6+6&gt;=$C17),"♦","")</f>
        <v>♦</v>
      </c>
      <c r="AE17" s="68" t="str">
        <f aca="false">IF(AND(ISNUMBER($C17),AE$6&lt;=$C17,AE$6+6&gt;=$C17),"♦","")</f>
        <v/>
      </c>
      <c r="AF17" s="68" t="str">
        <f aca="false">IF(AND(ISNUMBER($C17),AF$6&lt;=$C17,AF$6+6&gt;=$C17),"♦","")</f>
        <v/>
      </c>
      <c r="AG17" s="68" t="str">
        <f aca="false">IF(AND(ISNUMBER($C17),AG$6&lt;=$C17,AG$6+6&gt;=$C17),"♦","")</f>
        <v/>
      </c>
      <c r="AH17" s="68" t="str">
        <f aca="false">IF(AND(ISNUMBER($C17),AH$6&lt;=$C17,AH$6+6&gt;=$C17),"♦","")</f>
        <v/>
      </c>
      <c r="AI17" s="68" t="str">
        <f aca="false">IF(AND(ISNUMBER($C17),AI$6&lt;=$C17,AI$6+6&gt;=$C17),"♦","")</f>
        <v/>
      </c>
      <c r="AJ17" s="68" t="str">
        <f aca="false">IF(AND(ISNUMBER($C17),AJ$6&lt;=$C17,AJ$6+6&gt;=$C17),"♦","")</f>
        <v/>
      </c>
      <c r="AK17" s="68" t="str">
        <f aca="false">IF(AND(ISNUMBER($C17),AK$6&lt;=$C17,AK$6+6&gt;=$C17),"♦","")</f>
        <v/>
      </c>
      <c r="AL17" s="68" t="str">
        <f aca="false">IF(AND(ISNUMBER($C17),AL$6&lt;=$C17,AL$6+6&gt;=$C17),"♦","")</f>
        <v/>
      </c>
      <c r="AM17" s="68" t="str">
        <f aca="false">IF(AND(ISNUMBER($C17),AM$6&lt;=$C17,AM$6+6&gt;=$C17),"♦","")</f>
        <v/>
      </c>
      <c r="AN17" s="68" t="str">
        <f aca="false">IF(AND(ISNUMBER($C17),AN$6&lt;=$C17,AN$6+6&gt;=$C17),"♦","")</f>
        <v/>
      </c>
      <c r="AO17" s="68" t="str">
        <f aca="false">IF(AND(ISNUMBER($C17),AO$6&lt;=$C17,AO$6+6&gt;=$C17),"♦","")</f>
        <v/>
      </c>
      <c r="AP17" s="68" t="str">
        <f aca="false">IF(AND(ISNUMBER($C17),AP$6&lt;=$C17,AP$6+6&gt;=$C17),"♦","")</f>
        <v/>
      </c>
      <c r="AQ17" s="68" t="str">
        <f aca="false">IF(AND(ISNUMBER($C17),AQ$6&lt;=$C17,AQ$6+6&gt;=$C17),"♦","")</f>
        <v/>
      </c>
      <c r="AR17" s="68" t="str">
        <f aca="false">IF(AND(ISNUMBER($C17),AR$6&lt;=$C17,AR$6+6&gt;=$C17),"♦","")</f>
        <v/>
      </c>
      <c r="AS17" s="68" t="str">
        <f aca="false">IF(AND(ISNUMBER($C17),AS$6&lt;=$C17,AS$6+6&gt;=$C17),"♦","")</f>
        <v/>
      </c>
      <c r="AT17" s="68" t="str">
        <f aca="false">IF(AND(ISNUMBER($C17),AT$6&lt;=$C17,AT$6+6&gt;=$C17),"♦","")</f>
        <v/>
      </c>
      <c r="AU17" s="68" t="str">
        <f aca="false">IF(AND(ISNUMBER($C17),AU$6&lt;=$C17,AU$6+6&gt;=$C17),"♦","")</f>
        <v/>
      </c>
      <c r="AV17" s="68" t="str">
        <f aca="false">IF(AND(ISNUMBER($C17),AV$6&lt;=$C17,AV$6+6&gt;=$C17),"♦","")</f>
        <v/>
      </c>
      <c r="AW17" s="68" t="str">
        <f aca="false">IF(AND(ISNUMBER($C17),AW$6&lt;=$C17,AW$6+6&gt;=$C17),"♦","")</f>
        <v/>
      </c>
      <c r="AX17" s="68" t="str">
        <f aca="false">IF(AND(ISNUMBER($C17),AX$6&lt;=$C17,AX$6+6&gt;=$C17),"♦","")</f>
        <v/>
      </c>
      <c r="AY17" s="68" t="str">
        <f aca="false">IF(AND(ISNUMBER($C17),AY$6&lt;=$C17,AY$6+6&gt;=$C17),"♦","")</f>
        <v/>
      </c>
      <c r="AZ17" s="68" t="str">
        <f aca="false">IF(AND(ISNUMBER($C17),AZ$6&lt;=$C17,AZ$6+6&gt;=$C17),"♦","")</f>
        <v/>
      </c>
      <c r="BA17" s="68" t="str">
        <f aca="false">IF(AND(ISNUMBER($C17),BA$6&lt;=$C17,BA$6+6&gt;=$C17),"♦","")</f>
        <v/>
      </c>
      <c r="BB17" s="68" t="str">
        <f aca="false">IF(AND(ISNUMBER($C17),BB$6&lt;=$C17,BB$6+6&gt;=$C17),"♦","")</f>
        <v/>
      </c>
      <c r="BC17" s="68" t="str">
        <f aca="false">IF(AND(ISNUMBER($C17),BC$6&lt;=$C17,BC$6+6&gt;=$C17),"♦","")</f>
        <v/>
      </c>
      <c r="BD17" s="68" t="str">
        <f aca="false">IF(AND(ISNUMBER($C17),BD$6&lt;=$C17,BD$6+6&gt;=$C17),"♦","")</f>
        <v/>
      </c>
      <c r="BE17" s="68" t="str">
        <f aca="false">IF(AND(ISNUMBER($C17),BE$6&lt;=$C17,BE$6+6&gt;=$C17),"♦","")</f>
        <v/>
      </c>
      <c r="BF17" s="68" t="str">
        <f aca="false">IF(AND(ISNUMBER($C17),BF$6&lt;=$C17,BF$6+6&gt;=$C17),"♦","")</f>
        <v/>
      </c>
      <c r="BG17" s="68" t="str">
        <f aca="false">IF(AND(ISNUMBER($C17),BG$6&lt;=$C17,BG$6+6&gt;=$C17),"♦","")</f>
        <v/>
      </c>
      <c r="BH17" s="68" t="str">
        <f aca="false">IF(AND(ISNUMBER($C17),BH$6&lt;=$C17,BH$6+6&gt;=$C17),"♦","")</f>
        <v/>
      </c>
      <c r="BI17" s="68" t="str">
        <f aca="false">IF(AND(ISNUMBER($C17),BI$6&lt;=$C17,BI$6+6&gt;=$C17),"♦","")</f>
        <v/>
      </c>
      <c r="BJ17" s="68" t="str">
        <f aca="false">IF(AND(ISNUMBER($C17),BJ$6&lt;=$C17,BJ$6+6&gt;=$C17),"♦","")</f>
        <v/>
      </c>
    </row>
    <row r="18" customFormat="false" ht="15" hidden="false" customHeight="true" outlineLevel="0" collapsed="false">
      <c r="A18" s="23" t="s">
        <v>107</v>
      </c>
      <c r="B18" s="23" t="s">
        <v>346</v>
      </c>
      <c r="C18" s="66" t="n">
        <v>46444</v>
      </c>
      <c r="D18" s="66"/>
      <c r="E18" s="66"/>
      <c r="F18" s="42"/>
      <c r="G18" s="67" t="str">
        <f aca="false">IF(OR(D18="",E18=""),"",NETWORKDAYS(D18,E18,Feries))</f>
        <v/>
      </c>
      <c r="H18" s="42" t="str">
        <f aca="false">IF(A18="","",IFERROR(INDEX(Lot_type,MATCH(A18,Lot_nom,0)),"Game"))</f>
        <v>Marketing</v>
      </c>
      <c r="I18" s="42"/>
      <c r="J18" s="68" t="str">
        <f aca="false">IF(AND(ISNUMBER($C18),J$6&lt;=$C18,J$6+6&gt;=$C18),"♦","")</f>
        <v/>
      </c>
      <c r="K18" s="68" t="str">
        <f aca="false">IF(AND(ISNUMBER($C18),K$6&lt;=$C18,K$6+6&gt;=$C18),"♦","")</f>
        <v/>
      </c>
      <c r="L18" s="68" t="str">
        <f aca="false">IF(AND(ISNUMBER($C18),L$6&lt;=$C18,L$6+6&gt;=$C18),"♦","")</f>
        <v/>
      </c>
      <c r="M18" s="68" t="str">
        <f aca="false">IF(AND(ISNUMBER($C18),M$6&lt;=$C18,M$6+6&gt;=$C18),"♦","")</f>
        <v/>
      </c>
      <c r="N18" s="68" t="str">
        <f aca="false">IF(AND(ISNUMBER($C18),N$6&lt;=$C18,N$6+6&gt;=$C18),"♦","")</f>
        <v/>
      </c>
      <c r="O18" s="68" t="str">
        <f aca="false">IF(AND(ISNUMBER($C18),O$6&lt;=$C18,O$6+6&gt;=$C18),"♦","")</f>
        <v/>
      </c>
      <c r="P18" s="68" t="str">
        <f aca="false">IF(AND(ISNUMBER($C18),P$6&lt;=$C18,P$6+6&gt;=$C18),"♦","")</f>
        <v/>
      </c>
      <c r="Q18" s="68" t="str">
        <f aca="false">IF(AND(ISNUMBER($C18),Q$6&lt;=$C18,Q$6+6&gt;=$C18),"♦","")</f>
        <v/>
      </c>
      <c r="R18" s="68" t="str">
        <f aca="false">IF(AND(ISNUMBER($C18),R$6&lt;=$C18,R$6+6&gt;=$C18),"♦","")</f>
        <v/>
      </c>
      <c r="S18" s="68" t="str">
        <f aca="false">IF(AND(ISNUMBER($C18),S$6&lt;=$C18,S$6+6&gt;=$C18),"♦","")</f>
        <v/>
      </c>
      <c r="T18" s="68" t="str">
        <f aca="false">IF(AND(ISNUMBER($C18),T$6&lt;=$C18,T$6+6&gt;=$C18),"♦","")</f>
        <v/>
      </c>
      <c r="U18" s="68" t="str">
        <f aca="false">IF(AND(ISNUMBER($C18),U$6&lt;=$C18,U$6+6&gt;=$C18),"♦","")</f>
        <v/>
      </c>
      <c r="V18" s="68" t="str">
        <f aca="false">IF(AND(ISNUMBER($C18),V$6&lt;=$C18,V$6+6&gt;=$C18),"♦","")</f>
        <v/>
      </c>
      <c r="W18" s="68" t="str">
        <f aca="false">IF(AND(ISNUMBER($C18),W$6&lt;=$C18,W$6+6&gt;=$C18),"♦","")</f>
        <v/>
      </c>
      <c r="X18" s="68" t="str">
        <f aca="false">IF(AND(ISNUMBER($C18),X$6&lt;=$C18,X$6+6&gt;=$C18),"♦","")</f>
        <v/>
      </c>
      <c r="Y18" s="68" t="str">
        <f aca="false">IF(AND(ISNUMBER($C18),Y$6&lt;=$C18,Y$6+6&gt;=$C18),"♦","")</f>
        <v/>
      </c>
      <c r="Z18" s="68" t="str">
        <f aca="false">IF(AND(ISNUMBER($C18),Z$6&lt;=$C18,Z$6+6&gt;=$C18),"♦","")</f>
        <v>♦</v>
      </c>
      <c r="AA18" s="68" t="str">
        <f aca="false">IF(AND(ISNUMBER($C18),AA$6&lt;=$C18,AA$6+6&gt;=$C18),"♦","")</f>
        <v/>
      </c>
      <c r="AB18" s="68" t="str">
        <f aca="false">IF(AND(ISNUMBER($C18),AB$6&lt;=$C18,AB$6+6&gt;=$C18),"♦","")</f>
        <v/>
      </c>
      <c r="AC18" s="68" t="str">
        <f aca="false">IF(AND(ISNUMBER($C18),AC$6&lt;=$C18,AC$6+6&gt;=$C18),"♦","")</f>
        <v/>
      </c>
      <c r="AD18" s="68" t="str">
        <f aca="false">IF(AND(ISNUMBER($C18),AD$6&lt;=$C18,AD$6+6&gt;=$C18),"♦","")</f>
        <v/>
      </c>
      <c r="AE18" s="68" t="str">
        <f aca="false">IF(AND(ISNUMBER($C18),AE$6&lt;=$C18,AE$6+6&gt;=$C18),"♦","")</f>
        <v/>
      </c>
      <c r="AF18" s="68" t="str">
        <f aca="false">IF(AND(ISNUMBER($C18),AF$6&lt;=$C18,AF$6+6&gt;=$C18),"♦","")</f>
        <v/>
      </c>
      <c r="AG18" s="68" t="str">
        <f aca="false">IF(AND(ISNUMBER($C18),AG$6&lt;=$C18,AG$6+6&gt;=$C18),"♦","")</f>
        <v/>
      </c>
      <c r="AH18" s="68" t="str">
        <f aca="false">IF(AND(ISNUMBER($C18),AH$6&lt;=$C18,AH$6+6&gt;=$C18),"♦","")</f>
        <v/>
      </c>
      <c r="AI18" s="68" t="str">
        <f aca="false">IF(AND(ISNUMBER($C18),AI$6&lt;=$C18,AI$6+6&gt;=$C18),"♦","")</f>
        <v/>
      </c>
      <c r="AJ18" s="68" t="str">
        <f aca="false">IF(AND(ISNUMBER($C18),AJ$6&lt;=$C18,AJ$6+6&gt;=$C18),"♦","")</f>
        <v/>
      </c>
      <c r="AK18" s="68" t="str">
        <f aca="false">IF(AND(ISNUMBER($C18),AK$6&lt;=$C18,AK$6+6&gt;=$C18),"♦","")</f>
        <v/>
      </c>
      <c r="AL18" s="68" t="str">
        <f aca="false">IF(AND(ISNUMBER($C18),AL$6&lt;=$C18,AL$6+6&gt;=$C18),"♦","")</f>
        <v/>
      </c>
      <c r="AM18" s="68" t="str">
        <f aca="false">IF(AND(ISNUMBER($C18),AM$6&lt;=$C18,AM$6+6&gt;=$C18),"♦","")</f>
        <v/>
      </c>
      <c r="AN18" s="68" t="str">
        <f aca="false">IF(AND(ISNUMBER($C18),AN$6&lt;=$C18,AN$6+6&gt;=$C18),"♦","")</f>
        <v/>
      </c>
      <c r="AO18" s="68" t="str">
        <f aca="false">IF(AND(ISNUMBER($C18),AO$6&lt;=$C18,AO$6+6&gt;=$C18),"♦","")</f>
        <v/>
      </c>
      <c r="AP18" s="68" t="str">
        <f aca="false">IF(AND(ISNUMBER($C18),AP$6&lt;=$C18,AP$6+6&gt;=$C18),"♦","")</f>
        <v/>
      </c>
      <c r="AQ18" s="68" t="str">
        <f aca="false">IF(AND(ISNUMBER($C18),AQ$6&lt;=$C18,AQ$6+6&gt;=$C18),"♦","")</f>
        <v/>
      </c>
      <c r="AR18" s="68" t="str">
        <f aca="false">IF(AND(ISNUMBER($C18),AR$6&lt;=$C18,AR$6+6&gt;=$C18),"♦","")</f>
        <v/>
      </c>
      <c r="AS18" s="68" t="str">
        <f aca="false">IF(AND(ISNUMBER($C18),AS$6&lt;=$C18,AS$6+6&gt;=$C18),"♦","")</f>
        <v/>
      </c>
      <c r="AT18" s="68" t="str">
        <f aca="false">IF(AND(ISNUMBER($C18),AT$6&lt;=$C18,AT$6+6&gt;=$C18),"♦","")</f>
        <v/>
      </c>
      <c r="AU18" s="68" t="str">
        <f aca="false">IF(AND(ISNUMBER($C18),AU$6&lt;=$C18,AU$6+6&gt;=$C18),"♦","")</f>
        <v/>
      </c>
      <c r="AV18" s="68" t="str">
        <f aca="false">IF(AND(ISNUMBER($C18),AV$6&lt;=$C18,AV$6+6&gt;=$C18),"♦","")</f>
        <v/>
      </c>
      <c r="AW18" s="68" t="str">
        <f aca="false">IF(AND(ISNUMBER($C18),AW$6&lt;=$C18,AW$6+6&gt;=$C18),"♦","")</f>
        <v/>
      </c>
      <c r="AX18" s="68" t="str">
        <f aca="false">IF(AND(ISNUMBER($C18),AX$6&lt;=$C18,AX$6+6&gt;=$C18),"♦","")</f>
        <v/>
      </c>
      <c r="AY18" s="68" t="str">
        <f aca="false">IF(AND(ISNUMBER($C18),AY$6&lt;=$C18,AY$6+6&gt;=$C18),"♦","")</f>
        <v/>
      </c>
      <c r="AZ18" s="68" t="str">
        <f aca="false">IF(AND(ISNUMBER($C18),AZ$6&lt;=$C18,AZ$6+6&gt;=$C18),"♦","")</f>
        <v/>
      </c>
      <c r="BA18" s="68" t="str">
        <f aca="false">IF(AND(ISNUMBER($C18),BA$6&lt;=$C18,BA$6+6&gt;=$C18),"♦","")</f>
        <v/>
      </c>
      <c r="BB18" s="68" t="str">
        <f aca="false">IF(AND(ISNUMBER($C18),BB$6&lt;=$C18,BB$6+6&gt;=$C18),"♦","")</f>
        <v/>
      </c>
      <c r="BC18" s="68" t="str">
        <f aca="false">IF(AND(ISNUMBER($C18),BC$6&lt;=$C18,BC$6+6&gt;=$C18),"♦","")</f>
        <v/>
      </c>
      <c r="BD18" s="68" t="str">
        <f aca="false">IF(AND(ISNUMBER($C18),BD$6&lt;=$C18,BD$6+6&gt;=$C18),"♦","")</f>
        <v/>
      </c>
      <c r="BE18" s="68" t="str">
        <f aca="false">IF(AND(ISNUMBER($C18),BE$6&lt;=$C18,BE$6+6&gt;=$C18),"♦","")</f>
        <v/>
      </c>
      <c r="BF18" s="68" t="str">
        <f aca="false">IF(AND(ISNUMBER($C18),BF$6&lt;=$C18,BF$6+6&gt;=$C18),"♦","")</f>
        <v/>
      </c>
      <c r="BG18" s="68" t="str">
        <f aca="false">IF(AND(ISNUMBER($C18),BG$6&lt;=$C18,BG$6+6&gt;=$C18),"♦","")</f>
        <v/>
      </c>
      <c r="BH18" s="68" t="str">
        <f aca="false">IF(AND(ISNUMBER($C18),BH$6&lt;=$C18,BH$6+6&gt;=$C18),"♦","")</f>
        <v/>
      </c>
      <c r="BI18" s="68" t="str">
        <f aca="false">IF(AND(ISNUMBER($C18),BI$6&lt;=$C18,BI$6+6&gt;=$C18),"♦","")</f>
        <v/>
      </c>
      <c r="BJ18" s="68" t="str">
        <f aca="false">IF(AND(ISNUMBER($C18),BJ$6&lt;=$C18,BJ$6+6&gt;=$C18),"♦","")</f>
        <v/>
      </c>
    </row>
    <row r="19" customFormat="false" ht="15" hidden="false" customHeight="true" outlineLevel="0" collapsed="false">
      <c r="A19" s="23" t="s">
        <v>144</v>
      </c>
      <c r="B19" s="23" t="s">
        <v>347</v>
      </c>
      <c r="C19" s="66" t="n">
        <f aca="false">J_NextFest-14</f>
        <v>46538</v>
      </c>
      <c r="D19" s="66"/>
      <c r="E19" s="66"/>
      <c r="F19" s="42"/>
      <c r="G19" s="67" t="str">
        <f aca="false">IF(OR(D19="",E19=""),"",NETWORKDAYS(D19,E19,Feries))</f>
        <v/>
      </c>
      <c r="H19" s="42" t="str">
        <f aca="false">IF(A19="","",IFERROR(INDEX(Lot_type,MATCH(A19,Lot_nom,0)),"Game"))</f>
        <v>Game</v>
      </c>
      <c r="I19" s="42"/>
      <c r="J19" s="68" t="str">
        <f aca="false">IF(AND(ISNUMBER($C19),J$6&lt;=$C19,J$6+6&gt;=$C19),"♦","")</f>
        <v/>
      </c>
      <c r="K19" s="68" t="str">
        <f aca="false">IF(AND(ISNUMBER($C19),K$6&lt;=$C19,K$6+6&gt;=$C19),"♦","")</f>
        <v/>
      </c>
      <c r="L19" s="68" t="str">
        <f aca="false">IF(AND(ISNUMBER($C19),L$6&lt;=$C19,L$6+6&gt;=$C19),"♦","")</f>
        <v/>
      </c>
      <c r="M19" s="68" t="str">
        <f aca="false">IF(AND(ISNUMBER($C19),M$6&lt;=$C19,M$6+6&gt;=$C19),"♦","")</f>
        <v/>
      </c>
      <c r="N19" s="68" t="str">
        <f aca="false">IF(AND(ISNUMBER($C19),N$6&lt;=$C19,N$6+6&gt;=$C19),"♦","")</f>
        <v/>
      </c>
      <c r="O19" s="68" t="str">
        <f aca="false">IF(AND(ISNUMBER($C19),O$6&lt;=$C19,O$6+6&gt;=$C19),"♦","")</f>
        <v/>
      </c>
      <c r="P19" s="68" t="str">
        <f aca="false">IF(AND(ISNUMBER($C19),P$6&lt;=$C19,P$6+6&gt;=$C19),"♦","")</f>
        <v/>
      </c>
      <c r="Q19" s="68" t="str">
        <f aca="false">IF(AND(ISNUMBER($C19),Q$6&lt;=$C19,Q$6+6&gt;=$C19),"♦","")</f>
        <v/>
      </c>
      <c r="R19" s="68" t="str">
        <f aca="false">IF(AND(ISNUMBER($C19),R$6&lt;=$C19,R$6+6&gt;=$C19),"♦","")</f>
        <v/>
      </c>
      <c r="S19" s="68" t="str">
        <f aca="false">IF(AND(ISNUMBER($C19),S$6&lt;=$C19,S$6+6&gt;=$C19),"♦","")</f>
        <v/>
      </c>
      <c r="T19" s="68" t="str">
        <f aca="false">IF(AND(ISNUMBER($C19),T$6&lt;=$C19,T$6+6&gt;=$C19),"♦","")</f>
        <v/>
      </c>
      <c r="U19" s="68" t="str">
        <f aca="false">IF(AND(ISNUMBER($C19),U$6&lt;=$C19,U$6+6&gt;=$C19),"♦","")</f>
        <v/>
      </c>
      <c r="V19" s="68" t="str">
        <f aca="false">IF(AND(ISNUMBER($C19),V$6&lt;=$C19,V$6+6&gt;=$C19),"♦","")</f>
        <v/>
      </c>
      <c r="W19" s="68" t="str">
        <f aca="false">IF(AND(ISNUMBER($C19),W$6&lt;=$C19,W$6+6&gt;=$C19),"♦","")</f>
        <v/>
      </c>
      <c r="X19" s="68" t="str">
        <f aca="false">IF(AND(ISNUMBER($C19),X$6&lt;=$C19,X$6+6&gt;=$C19),"♦","")</f>
        <v/>
      </c>
      <c r="Y19" s="68" t="str">
        <f aca="false">IF(AND(ISNUMBER($C19),Y$6&lt;=$C19,Y$6+6&gt;=$C19),"♦","")</f>
        <v/>
      </c>
      <c r="Z19" s="68" t="str">
        <f aca="false">IF(AND(ISNUMBER($C19),Z$6&lt;=$C19,Z$6+6&gt;=$C19),"♦","")</f>
        <v/>
      </c>
      <c r="AA19" s="68" t="str">
        <f aca="false">IF(AND(ISNUMBER($C19),AA$6&lt;=$C19,AA$6+6&gt;=$C19),"♦","")</f>
        <v/>
      </c>
      <c r="AB19" s="68" t="str">
        <f aca="false">IF(AND(ISNUMBER($C19),AB$6&lt;=$C19,AB$6+6&gt;=$C19),"♦","")</f>
        <v/>
      </c>
      <c r="AC19" s="68" t="str">
        <f aca="false">IF(AND(ISNUMBER($C19),AC$6&lt;=$C19,AC$6+6&gt;=$C19),"♦","")</f>
        <v/>
      </c>
      <c r="AD19" s="68" t="str">
        <f aca="false">IF(AND(ISNUMBER($C19),AD$6&lt;=$C19,AD$6+6&gt;=$C19),"♦","")</f>
        <v/>
      </c>
      <c r="AE19" s="68" t="str">
        <f aca="false">IF(AND(ISNUMBER($C19),AE$6&lt;=$C19,AE$6+6&gt;=$C19),"♦","")</f>
        <v/>
      </c>
      <c r="AF19" s="68" t="str">
        <f aca="false">IF(AND(ISNUMBER($C19),AF$6&lt;=$C19,AF$6+6&gt;=$C19),"♦","")</f>
        <v/>
      </c>
      <c r="AG19" s="68" t="str">
        <f aca="false">IF(AND(ISNUMBER($C19),AG$6&lt;=$C19,AG$6+6&gt;=$C19),"♦","")</f>
        <v/>
      </c>
      <c r="AH19" s="68" t="str">
        <f aca="false">IF(AND(ISNUMBER($C19),AH$6&lt;=$C19,AH$6+6&gt;=$C19),"♦","")</f>
        <v/>
      </c>
      <c r="AI19" s="68" t="str">
        <f aca="false">IF(AND(ISNUMBER($C19),AI$6&lt;=$C19,AI$6+6&gt;=$C19),"♦","")</f>
        <v/>
      </c>
      <c r="AJ19" s="68" t="str">
        <f aca="false">IF(AND(ISNUMBER($C19),AJ$6&lt;=$C19,AJ$6+6&gt;=$C19),"♦","")</f>
        <v/>
      </c>
      <c r="AK19" s="68" t="str">
        <f aca="false">IF(AND(ISNUMBER($C19),AK$6&lt;=$C19,AK$6+6&gt;=$C19),"♦","")</f>
        <v/>
      </c>
      <c r="AL19" s="68" t="str">
        <f aca="false">IF(AND(ISNUMBER($C19),AL$6&lt;=$C19,AL$6+6&gt;=$C19),"♦","")</f>
        <v/>
      </c>
      <c r="AM19" s="68" t="str">
        <f aca="false">IF(AND(ISNUMBER($C19),AM$6&lt;=$C19,AM$6+6&gt;=$C19),"♦","")</f>
        <v/>
      </c>
      <c r="AN19" s="68" t="str">
        <f aca="false">IF(AND(ISNUMBER($C19),AN$6&lt;=$C19,AN$6+6&gt;=$C19),"♦","")</f>
        <v>♦</v>
      </c>
      <c r="AO19" s="68" t="str">
        <f aca="false">IF(AND(ISNUMBER($C19),AO$6&lt;=$C19,AO$6+6&gt;=$C19),"♦","")</f>
        <v/>
      </c>
      <c r="AP19" s="68" t="str">
        <f aca="false">IF(AND(ISNUMBER($C19),AP$6&lt;=$C19,AP$6+6&gt;=$C19),"♦","")</f>
        <v/>
      </c>
      <c r="AQ19" s="68" t="str">
        <f aca="false">IF(AND(ISNUMBER($C19),AQ$6&lt;=$C19,AQ$6+6&gt;=$C19),"♦","")</f>
        <v/>
      </c>
      <c r="AR19" s="68" t="str">
        <f aca="false">IF(AND(ISNUMBER($C19),AR$6&lt;=$C19,AR$6+6&gt;=$C19),"♦","")</f>
        <v/>
      </c>
      <c r="AS19" s="68" t="str">
        <f aca="false">IF(AND(ISNUMBER($C19),AS$6&lt;=$C19,AS$6+6&gt;=$C19),"♦","")</f>
        <v/>
      </c>
      <c r="AT19" s="68" t="str">
        <f aca="false">IF(AND(ISNUMBER($C19),AT$6&lt;=$C19,AT$6+6&gt;=$C19),"♦","")</f>
        <v/>
      </c>
      <c r="AU19" s="68" t="str">
        <f aca="false">IF(AND(ISNUMBER($C19),AU$6&lt;=$C19,AU$6+6&gt;=$C19),"♦","")</f>
        <v/>
      </c>
      <c r="AV19" s="68" t="str">
        <f aca="false">IF(AND(ISNUMBER($C19),AV$6&lt;=$C19,AV$6+6&gt;=$C19),"♦","")</f>
        <v/>
      </c>
      <c r="AW19" s="68" t="str">
        <f aca="false">IF(AND(ISNUMBER($C19),AW$6&lt;=$C19,AW$6+6&gt;=$C19),"♦","")</f>
        <v/>
      </c>
      <c r="AX19" s="68" t="str">
        <f aca="false">IF(AND(ISNUMBER($C19),AX$6&lt;=$C19,AX$6+6&gt;=$C19),"♦","")</f>
        <v/>
      </c>
      <c r="AY19" s="68" t="str">
        <f aca="false">IF(AND(ISNUMBER($C19),AY$6&lt;=$C19,AY$6+6&gt;=$C19),"♦","")</f>
        <v/>
      </c>
      <c r="AZ19" s="68" t="str">
        <f aca="false">IF(AND(ISNUMBER($C19),AZ$6&lt;=$C19,AZ$6+6&gt;=$C19),"♦","")</f>
        <v/>
      </c>
      <c r="BA19" s="68" t="str">
        <f aca="false">IF(AND(ISNUMBER($C19),BA$6&lt;=$C19,BA$6+6&gt;=$C19),"♦","")</f>
        <v/>
      </c>
      <c r="BB19" s="68" t="str">
        <f aca="false">IF(AND(ISNUMBER($C19),BB$6&lt;=$C19,BB$6+6&gt;=$C19),"♦","")</f>
        <v/>
      </c>
      <c r="BC19" s="68" t="str">
        <f aca="false">IF(AND(ISNUMBER($C19),BC$6&lt;=$C19,BC$6+6&gt;=$C19),"♦","")</f>
        <v/>
      </c>
      <c r="BD19" s="68" t="str">
        <f aca="false">IF(AND(ISNUMBER($C19),BD$6&lt;=$C19,BD$6+6&gt;=$C19),"♦","")</f>
        <v/>
      </c>
      <c r="BE19" s="68" t="str">
        <f aca="false">IF(AND(ISNUMBER($C19),BE$6&lt;=$C19,BE$6+6&gt;=$C19),"♦","")</f>
        <v/>
      </c>
      <c r="BF19" s="68" t="str">
        <f aca="false">IF(AND(ISNUMBER($C19),BF$6&lt;=$C19,BF$6+6&gt;=$C19),"♦","")</f>
        <v/>
      </c>
      <c r="BG19" s="68" t="str">
        <f aca="false">IF(AND(ISNUMBER($C19),BG$6&lt;=$C19,BG$6+6&gt;=$C19),"♦","")</f>
        <v/>
      </c>
      <c r="BH19" s="68" t="str">
        <f aca="false">IF(AND(ISNUMBER($C19),BH$6&lt;=$C19,BH$6+6&gt;=$C19),"♦","")</f>
        <v/>
      </c>
      <c r="BI19" s="68" t="str">
        <f aca="false">IF(AND(ISNUMBER($C19),BI$6&lt;=$C19,BI$6+6&gt;=$C19),"♦","")</f>
        <v/>
      </c>
      <c r="BJ19" s="68" t="str">
        <f aca="false">IF(AND(ISNUMBER($C19),BJ$6&lt;=$C19,BJ$6+6&gt;=$C19),"♦","")</f>
        <v/>
      </c>
    </row>
    <row r="20" customFormat="false" ht="15" hidden="false" customHeight="true" outlineLevel="0" collapsed="false">
      <c r="A20" s="23" t="s">
        <v>147</v>
      </c>
      <c r="B20" s="23" t="s">
        <v>348</v>
      </c>
      <c r="C20" s="66" t="n">
        <f aca="false">J_Sortie-28</f>
        <v>46646</v>
      </c>
      <c r="D20" s="66"/>
      <c r="E20" s="66"/>
      <c r="F20" s="42"/>
      <c r="G20" s="67" t="str">
        <f aca="false">IF(OR(D20="",E20=""),"",NETWORKDAYS(D20,E20,Feries))</f>
        <v/>
      </c>
      <c r="H20" s="42" t="str">
        <f aca="false">IF(A20="","",IFERROR(INDEX(Lot_type,MATCH(A20,Lot_nom,0)),"Game"))</f>
        <v>Game</v>
      </c>
      <c r="I20" s="42"/>
      <c r="J20" s="68" t="str">
        <f aca="false">IF(AND(ISNUMBER($C20),J$6&lt;=$C20,J$6+6&gt;=$C20),"♦","")</f>
        <v/>
      </c>
      <c r="K20" s="68" t="str">
        <f aca="false">IF(AND(ISNUMBER($C20),K$6&lt;=$C20,K$6+6&gt;=$C20),"♦","")</f>
        <v/>
      </c>
      <c r="L20" s="68" t="str">
        <f aca="false">IF(AND(ISNUMBER($C20),L$6&lt;=$C20,L$6+6&gt;=$C20),"♦","")</f>
        <v/>
      </c>
      <c r="M20" s="68" t="str">
        <f aca="false">IF(AND(ISNUMBER($C20),M$6&lt;=$C20,M$6+6&gt;=$C20),"♦","")</f>
        <v/>
      </c>
      <c r="N20" s="68" t="str">
        <f aca="false">IF(AND(ISNUMBER($C20),N$6&lt;=$C20,N$6+6&gt;=$C20),"♦","")</f>
        <v/>
      </c>
      <c r="O20" s="68" t="str">
        <f aca="false">IF(AND(ISNUMBER($C20),O$6&lt;=$C20,O$6+6&gt;=$C20),"♦","")</f>
        <v/>
      </c>
      <c r="P20" s="68" t="str">
        <f aca="false">IF(AND(ISNUMBER($C20),P$6&lt;=$C20,P$6+6&gt;=$C20),"♦","")</f>
        <v/>
      </c>
      <c r="Q20" s="68" t="str">
        <f aca="false">IF(AND(ISNUMBER($C20),Q$6&lt;=$C20,Q$6+6&gt;=$C20),"♦","")</f>
        <v/>
      </c>
      <c r="R20" s="68" t="str">
        <f aca="false">IF(AND(ISNUMBER($C20),R$6&lt;=$C20,R$6+6&gt;=$C20),"♦","")</f>
        <v/>
      </c>
      <c r="S20" s="68" t="str">
        <f aca="false">IF(AND(ISNUMBER($C20),S$6&lt;=$C20,S$6+6&gt;=$C20),"♦","")</f>
        <v/>
      </c>
      <c r="T20" s="68" t="str">
        <f aca="false">IF(AND(ISNUMBER($C20),T$6&lt;=$C20,T$6+6&gt;=$C20),"♦","")</f>
        <v/>
      </c>
      <c r="U20" s="68" t="str">
        <f aca="false">IF(AND(ISNUMBER($C20),U$6&lt;=$C20,U$6+6&gt;=$C20),"♦","")</f>
        <v/>
      </c>
      <c r="V20" s="68" t="str">
        <f aca="false">IF(AND(ISNUMBER($C20),V$6&lt;=$C20,V$6+6&gt;=$C20),"♦","")</f>
        <v/>
      </c>
      <c r="W20" s="68" t="str">
        <f aca="false">IF(AND(ISNUMBER($C20),W$6&lt;=$C20,W$6+6&gt;=$C20),"♦","")</f>
        <v/>
      </c>
      <c r="X20" s="68" t="str">
        <f aca="false">IF(AND(ISNUMBER($C20),X$6&lt;=$C20,X$6+6&gt;=$C20),"♦","")</f>
        <v/>
      </c>
      <c r="Y20" s="68" t="str">
        <f aca="false">IF(AND(ISNUMBER($C20),Y$6&lt;=$C20,Y$6+6&gt;=$C20),"♦","")</f>
        <v/>
      </c>
      <c r="Z20" s="68" t="str">
        <f aca="false">IF(AND(ISNUMBER($C20),Z$6&lt;=$C20,Z$6+6&gt;=$C20),"♦","")</f>
        <v/>
      </c>
      <c r="AA20" s="68" t="str">
        <f aca="false">IF(AND(ISNUMBER($C20),AA$6&lt;=$C20,AA$6+6&gt;=$C20),"♦","")</f>
        <v/>
      </c>
      <c r="AB20" s="68" t="str">
        <f aca="false">IF(AND(ISNUMBER($C20),AB$6&lt;=$C20,AB$6+6&gt;=$C20),"♦","")</f>
        <v/>
      </c>
      <c r="AC20" s="68" t="str">
        <f aca="false">IF(AND(ISNUMBER($C20),AC$6&lt;=$C20,AC$6+6&gt;=$C20),"♦","")</f>
        <v/>
      </c>
      <c r="AD20" s="68" t="str">
        <f aca="false">IF(AND(ISNUMBER($C20),AD$6&lt;=$C20,AD$6+6&gt;=$C20),"♦","")</f>
        <v/>
      </c>
      <c r="AE20" s="68" t="str">
        <f aca="false">IF(AND(ISNUMBER($C20),AE$6&lt;=$C20,AE$6+6&gt;=$C20),"♦","")</f>
        <v/>
      </c>
      <c r="AF20" s="68" t="str">
        <f aca="false">IF(AND(ISNUMBER($C20),AF$6&lt;=$C20,AF$6+6&gt;=$C20),"♦","")</f>
        <v/>
      </c>
      <c r="AG20" s="68" t="str">
        <f aca="false">IF(AND(ISNUMBER($C20),AG$6&lt;=$C20,AG$6+6&gt;=$C20),"♦","")</f>
        <v/>
      </c>
      <c r="AH20" s="68" t="str">
        <f aca="false">IF(AND(ISNUMBER($C20),AH$6&lt;=$C20,AH$6+6&gt;=$C20),"♦","")</f>
        <v/>
      </c>
      <c r="AI20" s="68" t="str">
        <f aca="false">IF(AND(ISNUMBER($C20),AI$6&lt;=$C20,AI$6+6&gt;=$C20),"♦","")</f>
        <v/>
      </c>
      <c r="AJ20" s="68" t="str">
        <f aca="false">IF(AND(ISNUMBER($C20),AJ$6&lt;=$C20,AJ$6+6&gt;=$C20),"♦","")</f>
        <v/>
      </c>
      <c r="AK20" s="68" t="str">
        <f aca="false">IF(AND(ISNUMBER($C20),AK$6&lt;=$C20,AK$6+6&gt;=$C20),"♦","")</f>
        <v/>
      </c>
      <c r="AL20" s="68" t="str">
        <f aca="false">IF(AND(ISNUMBER($C20),AL$6&lt;=$C20,AL$6+6&gt;=$C20),"♦","")</f>
        <v/>
      </c>
      <c r="AM20" s="68" t="str">
        <f aca="false">IF(AND(ISNUMBER($C20),AM$6&lt;=$C20,AM$6+6&gt;=$C20),"♦","")</f>
        <v/>
      </c>
      <c r="AN20" s="68" t="str">
        <f aca="false">IF(AND(ISNUMBER($C20),AN$6&lt;=$C20,AN$6+6&gt;=$C20),"♦","")</f>
        <v/>
      </c>
      <c r="AO20" s="68" t="str">
        <f aca="false">IF(AND(ISNUMBER($C20),AO$6&lt;=$C20,AO$6+6&gt;=$C20),"♦","")</f>
        <v/>
      </c>
      <c r="AP20" s="68" t="str">
        <f aca="false">IF(AND(ISNUMBER($C20),AP$6&lt;=$C20,AP$6+6&gt;=$C20),"♦","")</f>
        <v/>
      </c>
      <c r="AQ20" s="68" t="str">
        <f aca="false">IF(AND(ISNUMBER($C20),AQ$6&lt;=$C20,AQ$6+6&gt;=$C20),"♦","")</f>
        <v/>
      </c>
      <c r="AR20" s="68" t="str">
        <f aca="false">IF(AND(ISNUMBER($C20),AR$6&lt;=$C20,AR$6+6&gt;=$C20),"♦","")</f>
        <v/>
      </c>
      <c r="AS20" s="68" t="str">
        <f aca="false">IF(AND(ISNUMBER($C20),AS$6&lt;=$C20,AS$6+6&gt;=$C20),"♦","")</f>
        <v/>
      </c>
      <c r="AT20" s="68" t="str">
        <f aca="false">IF(AND(ISNUMBER($C20),AT$6&lt;=$C20,AT$6+6&gt;=$C20),"♦","")</f>
        <v/>
      </c>
      <c r="AU20" s="68" t="str">
        <f aca="false">IF(AND(ISNUMBER($C20),AU$6&lt;=$C20,AU$6+6&gt;=$C20),"♦","")</f>
        <v/>
      </c>
      <c r="AV20" s="68" t="str">
        <f aca="false">IF(AND(ISNUMBER($C20),AV$6&lt;=$C20,AV$6+6&gt;=$C20),"♦","")</f>
        <v/>
      </c>
      <c r="AW20" s="68" t="str">
        <f aca="false">IF(AND(ISNUMBER($C20),AW$6&lt;=$C20,AW$6+6&gt;=$C20),"♦","")</f>
        <v/>
      </c>
      <c r="AX20" s="68" t="str">
        <f aca="false">IF(AND(ISNUMBER($C20),AX$6&lt;=$C20,AX$6+6&gt;=$C20),"♦","")</f>
        <v/>
      </c>
      <c r="AY20" s="68" t="str">
        <f aca="false">IF(AND(ISNUMBER($C20),AY$6&lt;=$C20,AY$6+6&gt;=$C20),"♦","")</f>
        <v/>
      </c>
      <c r="AZ20" s="68" t="str">
        <f aca="false">IF(AND(ISNUMBER($C20),AZ$6&lt;=$C20,AZ$6+6&gt;=$C20),"♦","")</f>
        <v/>
      </c>
      <c r="BA20" s="68" t="str">
        <f aca="false">IF(AND(ISNUMBER($C20),BA$6&lt;=$C20,BA$6+6&gt;=$C20),"♦","")</f>
        <v/>
      </c>
      <c r="BB20" s="68" t="str">
        <f aca="false">IF(AND(ISNUMBER($C20),BB$6&lt;=$C20,BB$6+6&gt;=$C20),"♦","")</f>
        <v/>
      </c>
      <c r="BC20" s="68" t="str">
        <f aca="false">IF(AND(ISNUMBER($C20),BC$6&lt;=$C20,BC$6+6&gt;=$C20),"♦","")</f>
        <v>♦</v>
      </c>
      <c r="BD20" s="68" t="str">
        <f aca="false">IF(AND(ISNUMBER($C20),BD$6&lt;=$C20,BD$6+6&gt;=$C20),"♦","")</f>
        <v/>
      </c>
      <c r="BE20" s="68" t="str">
        <f aca="false">IF(AND(ISNUMBER($C20),BE$6&lt;=$C20,BE$6+6&gt;=$C20),"♦","")</f>
        <v/>
      </c>
      <c r="BF20" s="68" t="str">
        <f aca="false">IF(AND(ISNUMBER($C20),BF$6&lt;=$C20,BF$6+6&gt;=$C20),"♦","")</f>
        <v/>
      </c>
      <c r="BG20" s="68" t="str">
        <f aca="false">IF(AND(ISNUMBER($C20),BG$6&lt;=$C20,BG$6+6&gt;=$C20),"♦","")</f>
        <v/>
      </c>
      <c r="BH20" s="68" t="str">
        <f aca="false">IF(AND(ISNUMBER($C20),BH$6&lt;=$C20,BH$6+6&gt;=$C20),"♦","")</f>
        <v/>
      </c>
      <c r="BI20" s="68" t="str">
        <f aca="false">IF(AND(ISNUMBER($C20),BI$6&lt;=$C20,BI$6+6&gt;=$C20),"♦","")</f>
        <v/>
      </c>
      <c r="BJ20" s="68" t="str">
        <f aca="false">IF(AND(ISNUMBER($C20),BJ$6&lt;=$C20,BJ$6+6&gt;=$C20),"♦","")</f>
        <v/>
      </c>
    </row>
    <row r="21" customFormat="false" ht="15" hidden="false" customHeight="true" outlineLevel="0" collapsed="false">
      <c r="A21" s="23" t="s">
        <v>147</v>
      </c>
      <c r="B21" s="23" t="s">
        <v>349</v>
      </c>
      <c r="C21" s="66"/>
      <c r="D21" s="66" t="n">
        <f aca="false">J_Sortie-14</f>
        <v>46660</v>
      </c>
      <c r="E21" s="66" t="n">
        <f aca="false">J_Sortie-1</f>
        <v>46673</v>
      </c>
      <c r="F21" s="42"/>
      <c r="G21" s="67" t="n">
        <f aca="false">IF(OR(D21="",E21=""),"",NETWORKDAYS(D21,E21,Feries))</f>
        <v>10</v>
      </c>
      <c r="H21" s="42" t="str">
        <f aca="false">IF(A21="","",IFERROR(INDEX(Lot_type,MATCH(A21,Lot_nom,0)),"Game"))</f>
        <v>Game</v>
      </c>
      <c r="I21" s="42"/>
      <c r="J21" s="68" t="str">
        <f aca="false">IF(AND(ISNUMBER($C21),J$6&lt;=$C21,J$6+6&gt;=$C21),"♦","")</f>
        <v/>
      </c>
      <c r="K21" s="68" t="str">
        <f aca="false">IF(AND(ISNUMBER($C21),K$6&lt;=$C21,K$6+6&gt;=$C21),"♦","")</f>
        <v/>
      </c>
      <c r="L21" s="68" t="str">
        <f aca="false">IF(AND(ISNUMBER($C21),L$6&lt;=$C21,L$6+6&gt;=$C21),"♦","")</f>
        <v/>
      </c>
      <c r="M21" s="68" t="str">
        <f aca="false">IF(AND(ISNUMBER($C21),M$6&lt;=$C21,M$6+6&gt;=$C21),"♦","")</f>
        <v/>
      </c>
      <c r="N21" s="68" t="str">
        <f aca="false">IF(AND(ISNUMBER($C21),N$6&lt;=$C21,N$6+6&gt;=$C21),"♦","")</f>
        <v/>
      </c>
      <c r="O21" s="68" t="str">
        <f aca="false">IF(AND(ISNUMBER($C21),O$6&lt;=$C21,O$6+6&gt;=$C21),"♦","")</f>
        <v/>
      </c>
      <c r="P21" s="68" t="str">
        <f aca="false">IF(AND(ISNUMBER($C21),P$6&lt;=$C21,P$6+6&gt;=$C21),"♦","")</f>
        <v/>
      </c>
      <c r="Q21" s="68" t="str">
        <f aca="false">IF(AND(ISNUMBER($C21),Q$6&lt;=$C21,Q$6+6&gt;=$C21),"♦","")</f>
        <v/>
      </c>
      <c r="R21" s="68" t="str">
        <f aca="false">IF(AND(ISNUMBER($C21),R$6&lt;=$C21,R$6+6&gt;=$C21),"♦","")</f>
        <v/>
      </c>
      <c r="S21" s="68" t="str">
        <f aca="false">IF(AND(ISNUMBER($C21),S$6&lt;=$C21,S$6+6&gt;=$C21),"♦","")</f>
        <v/>
      </c>
      <c r="T21" s="68" t="str">
        <f aca="false">IF(AND(ISNUMBER($C21),T$6&lt;=$C21,T$6+6&gt;=$C21),"♦","")</f>
        <v/>
      </c>
      <c r="U21" s="68" t="str">
        <f aca="false">IF(AND(ISNUMBER($C21),U$6&lt;=$C21,U$6+6&gt;=$C21),"♦","")</f>
        <v/>
      </c>
      <c r="V21" s="68" t="str">
        <f aca="false">IF(AND(ISNUMBER($C21),V$6&lt;=$C21,V$6+6&gt;=$C21),"♦","")</f>
        <v/>
      </c>
      <c r="W21" s="68" t="str">
        <f aca="false">IF(AND(ISNUMBER($C21),W$6&lt;=$C21,W$6+6&gt;=$C21),"♦","")</f>
        <v/>
      </c>
      <c r="X21" s="68" t="str">
        <f aca="false">IF(AND(ISNUMBER($C21),X$6&lt;=$C21,X$6+6&gt;=$C21),"♦","")</f>
        <v/>
      </c>
      <c r="Y21" s="68" t="str">
        <f aca="false">IF(AND(ISNUMBER($C21),Y$6&lt;=$C21,Y$6+6&gt;=$C21),"♦","")</f>
        <v/>
      </c>
      <c r="Z21" s="68" t="str">
        <f aca="false">IF(AND(ISNUMBER($C21),Z$6&lt;=$C21,Z$6+6&gt;=$C21),"♦","")</f>
        <v/>
      </c>
      <c r="AA21" s="68" t="str">
        <f aca="false">IF(AND(ISNUMBER($C21),AA$6&lt;=$C21,AA$6+6&gt;=$C21),"♦","")</f>
        <v/>
      </c>
      <c r="AB21" s="68" t="str">
        <f aca="false">IF(AND(ISNUMBER($C21),AB$6&lt;=$C21,AB$6+6&gt;=$C21),"♦","")</f>
        <v/>
      </c>
      <c r="AC21" s="68" t="str">
        <f aca="false">IF(AND(ISNUMBER($C21),AC$6&lt;=$C21,AC$6+6&gt;=$C21),"♦","")</f>
        <v/>
      </c>
      <c r="AD21" s="68" t="str">
        <f aca="false">IF(AND(ISNUMBER($C21),AD$6&lt;=$C21,AD$6+6&gt;=$C21),"♦","")</f>
        <v/>
      </c>
      <c r="AE21" s="68" t="str">
        <f aca="false">IF(AND(ISNUMBER($C21),AE$6&lt;=$C21,AE$6+6&gt;=$C21),"♦","")</f>
        <v/>
      </c>
      <c r="AF21" s="68" t="str">
        <f aca="false">IF(AND(ISNUMBER($C21),AF$6&lt;=$C21,AF$6+6&gt;=$C21),"♦","")</f>
        <v/>
      </c>
      <c r="AG21" s="68" t="str">
        <f aca="false">IF(AND(ISNUMBER($C21),AG$6&lt;=$C21,AG$6+6&gt;=$C21),"♦","")</f>
        <v/>
      </c>
      <c r="AH21" s="68" t="str">
        <f aca="false">IF(AND(ISNUMBER($C21),AH$6&lt;=$C21,AH$6+6&gt;=$C21),"♦","")</f>
        <v/>
      </c>
      <c r="AI21" s="68" t="str">
        <f aca="false">IF(AND(ISNUMBER($C21),AI$6&lt;=$C21,AI$6+6&gt;=$C21),"♦","")</f>
        <v/>
      </c>
      <c r="AJ21" s="68" t="str">
        <f aca="false">IF(AND(ISNUMBER($C21),AJ$6&lt;=$C21,AJ$6+6&gt;=$C21),"♦","")</f>
        <v/>
      </c>
      <c r="AK21" s="68" t="str">
        <f aca="false">IF(AND(ISNUMBER($C21),AK$6&lt;=$C21,AK$6+6&gt;=$C21),"♦","")</f>
        <v/>
      </c>
      <c r="AL21" s="68" t="str">
        <f aca="false">IF(AND(ISNUMBER($C21),AL$6&lt;=$C21,AL$6+6&gt;=$C21),"♦","")</f>
        <v/>
      </c>
      <c r="AM21" s="68" t="str">
        <f aca="false">IF(AND(ISNUMBER($C21),AM$6&lt;=$C21,AM$6+6&gt;=$C21),"♦","")</f>
        <v/>
      </c>
      <c r="AN21" s="68" t="str">
        <f aca="false">IF(AND(ISNUMBER($C21),AN$6&lt;=$C21,AN$6+6&gt;=$C21),"♦","")</f>
        <v/>
      </c>
      <c r="AO21" s="68" t="str">
        <f aca="false">IF(AND(ISNUMBER($C21),AO$6&lt;=$C21,AO$6+6&gt;=$C21),"♦","")</f>
        <v/>
      </c>
      <c r="AP21" s="68" t="str">
        <f aca="false">IF(AND(ISNUMBER($C21),AP$6&lt;=$C21,AP$6+6&gt;=$C21),"♦","")</f>
        <v/>
      </c>
      <c r="AQ21" s="68" t="str">
        <f aca="false">IF(AND(ISNUMBER($C21),AQ$6&lt;=$C21,AQ$6+6&gt;=$C21),"♦","")</f>
        <v/>
      </c>
      <c r="AR21" s="68" t="str">
        <f aca="false">IF(AND(ISNUMBER($C21),AR$6&lt;=$C21,AR$6+6&gt;=$C21),"♦","")</f>
        <v/>
      </c>
      <c r="AS21" s="68" t="str">
        <f aca="false">IF(AND(ISNUMBER($C21),AS$6&lt;=$C21,AS$6+6&gt;=$C21),"♦","")</f>
        <v/>
      </c>
      <c r="AT21" s="68" t="str">
        <f aca="false">IF(AND(ISNUMBER($C21),AT$6&lt;=$C21,AT$6+6&gt;=$C21),"♦","")</f>
        <v/>
      </c>
      <c r="AU21" s="68" t="str">
        <f aca="false">IF(AND(ISNUMBER($C21),AU$6&lt;=$C21,AU$6+6&gt;=$C21),"♦","")</f>
        <v/>
      </c>
      <c r="AV21" s="68" t="str">
        <f aca="false">IF(AND(ISNUMBER($C21),AV$6&lt;=$C21,AV$6+6&gt;=$C21),"♦","")</f>
        <v/>
      </c>
      <c r="AW21" s="68" t="str">
        <f aca="false">IF(AND(ISNUMBER($C21),AW$6&lt;=$C21,AW$6+6&gt;=$C21),"♦","")</f>
        <v/>
      </c>
      <c r="AX21" s="68" t="str">
        <f aca="false">IF(AND(ISNUMBER($C21),AX$6&lt;=$C21,AX$6+6&gt;=$C21),"♦","")</f>
        <v/>
      </c>
      <c r="AY21" s="68" t="str">
        <f aca="false">IF(AND(ISNUMBER($C21),AY$6&lt;=$C21,AY$6+6&gt;=$C21),"♦","")</f>
        <v/>
      </c>
      <c r="AZ21" s="68" t="str">
        <f aca="false">IF(AND(ISNUMBER($C21),AZ$6&lt;=$C21,AZ$6+6&gt;=$C21),"♦","")</f>
        <v/>
      </c>
      <c r="BA21" s="68" t="str">
        <f aca="false">IF(AND(ISNUMBER($C21),BA$6&lt;=$C21,BA$6+6&gt;=$C21),"♦","")</f>
        <v/>
      </c>
      <c r="BB21" s="68" t="str">
        <f aca="false">IF(AND(ISNUMBER($C21),BB$6&lt;=$C21,BB$6+6&gt;=$C21),"♦","")</f>
        <v/>
      </c>
      <c r="BC21" s="68" t="str">
        <f aca="false">IF(AND(ISNUMBER($C21),BC$6&lt;=$C21,BC$6+6&gt;=$C21),"♦","")</f>
        <v/>
      </c>
      <c r="BD21" s="68" t="str">
        <f aca="false">IF(AND(ISNUMBER($C21),BD$6&lt;=$C21,BD$6+6&gt;=$C21),"♦","")</f>
        <v/>
      </c>
      <c r="BE21" s="68" t="str">
        <f aca="false">IF(AND(ISNUMBER($C21),BE$6&lt;=$C21,BE$6+6&gt;=$C21),"♦","")</f>
        <v/>
      </c>
      <c r="BF21" s="68" t="str">
        <f aca="false">IF(AND(ISNUMBER($C21),BF$6&lt;=$C21,BF$6+6&gt;=$C21),"♦","")</f>
        <v/>
      </c>
      <c r="BG21" s="68" t="str">
        <f aca="false">IF(AND(ISNUMBER($C21),BG$6&lt;=$C21,BG$6+6&gt;=$C21),"♦","")</f>
        <v/>
      </c>
      <c r="BH21" s="68" t="str">
        <f aca="false">IF(AND(ISNUMBER($C21),BH$6&lt;=$C21,BH$6+6&gt;=$C21),"♦","")</f>
        <v/>
      </c>
      <c r="BI21" s="68" t="str">
        <f aca="false">IF(AND(ISNUMBER($C21),BI$6&lt;=$C21,BI$6+6&gt;=$C21),"♦","")</f>
        <v/>
      </c>
      <c r="BJ21" s="68" t="str">
        <f aca="false">IF(AND(ISNUMBER($C21),BJ$6&lt;=$C21,BJ$6+6&gt;=$C21),"♦","")</f>
        <v/>
      </c>
    </row>
    <row r="22" customFormat="false" ht="15" hidden="false" customHeight="true" outlineLevel="0" collapsed="false">
      <c r="A22" s="23"/>
      <c r="B22" s="23"/>
      <c r="C22" s="66"/>
      <c r="D22" s="66"/>
      <c r="E22" s="66"/>
      <c r="F22" s="42"/>
      <c r="G22" s="67" t="str">
        <f aca="false">IF(OR(D22="",E22=""),"",NETWORKDAYS(D22,E22,Feries))</f>
        <v/>
      </c>
      <c r="H22" s="42" t="str">
        <f aca="false">IF(A22="","",IFERROR(INDEX(Lot_type,MATCH(A22,Lot_nom,0)),"Game"))</f>
        <v/>
      </c>
      <c r="I22" s="42"/>
      <c r="J22" s="68" t="str">
        <f aca="false">IF(AND(ISNUMBER($C22),J$6&lt;=$C22,J$6+6&gt;=$C22),"♦","")</f>
        <v/>
      </c>
      <c r="K22" s="68" t="str">
        <f aca="false">IF(AND(ISNUMBER($C22),K$6&lt;=$C22,K$6+6&gt;=$C22),"♦","")</f>
        <v/>
      </c>
      <c r="L22" s="68" t="str">
        <f aca="false">IF(AND(ISNUMBER($C22),L$6&lt;=$C22,L$6+6&gt;=$C22),"♦","")</f>
        <v/>
      </c>
      <c r="M22" s="68" t="str">
        <f aca="false">IF(AND(ISNUMBER($C22),M$6&lt;=$C22,M$6+6&gt;=$C22),"♦","")</f>
        <v/>
      </c>
      <c r="N22" s="68" t="str">
        <f aca="false">IF(AND(ISNUMBER($C22),N$6&lt;=$C22,N$6+6&gt;=$C22),"♦","")</f>
        <v/>
      </c>
      <c r="O22" s="68" t="str">
        <f aca="false">IF(AND(ISNUMBER($C22),O$6&lt;=$C22,O$6+6&gt;=$C22),"♦","")</f>
        <v/>
      </c>
      <c r="P22" s="68" t="str">
        <f aca="false">IF(AND(ISNUMBER($C22),P$6&lt;=$C22,P$6+6&gt;=$C22),"♦","")</f>
        <v/>
      </c>
      <c r="Q22" s="68" t="str">
        <f aca="false">IF(AND(ISNUMBER($C22),Q$6&lt;=$C22,Q$6+6&gt;=$C22),"♦","")</f>
        <v/>
      </c>
      <c r="R22" s="68" t="str">
        <f aca="false">IF(AND(ISNUMBER($C22),R$6&lt;=$C22,R$6+6&gt;=$C22),"♦","")</f>
        <v/>
      </c>
      <c r="S22" s="68" t="str">
        <f aca="false">IF(AND(ISNUMBER($C22),S$6&lt;=$C22,S$6+6&gt;=$C22),"♦","")</f>
        <v/>
      </c>
      <c r="T22" s="68" t="str">
        <f aca="false">IF(AND(ISNUMBER($C22),T$6&lt;=$C22,T$6+6&gt;=$C22),"♦","")</f>
        <v/>
      </c>
      <c r="U22" s="68" t="str">
        <f aca="false">IF(AND(ISNUMBER($C22),U$6&lt;=$C22,U$6+6&gt;=$C22),"♦","")</f>
        <v/>
      </c>
      <c r="V22" s="68" t="str">
        <f aca="false">IF(AND(ISNUMBER($C22),V$6&lt;=$C22,V$6+6&gt;=$C22),"♦","")</f>
        <v/>
      </c>
      <c r="W22" s="68" t="str">
        <f aca="false">IF(AND(ISNUMBER($C22),W$6&lt;=$C22,W$6+6&gt;=$C22),"♦","")</f>
        <v/>
      </c>
      <c r="X22" s="68" t="str">
        <f aca="false">IF(AND(ISNUMBER($C22),X$6&lt;=$C22,X$6+6&gt;=$C22),"♦","")</f>
        <v/>
      </c>
      <c r="Y22" s="68" t="str">
        <f aca="false">IF(AND(ISNUMBER($C22),Y$6&lt;=$C22,Y$6+6&gt;=$C22),"♦","")</f>
        <v/>
      </c>
      <c r="Z22" s="68" t="str">
        <f aca="false">IF(AND(ISNUMBER($C22),Z$6&lt;=$C22,Z$6+6&gt;=$C22),"♦","")</f>
        <v/>
      </c>
      <c r="AA22" s="68" t="str">
        <f aca="false">IF(AND(ISNUMBER($C22),AA$6&lt;=$C22,AA$6+6&gt;=$C22),"♦","")</f>
        <v/>
      </c>
      <c r="AB22" s="68" t="str">
        <f aca="false">IF(AND(ISNUMBER($C22),AB$6&lt;=$C22,AB$6+6&gt;=$C22),"♦","")</f>
        <v/>
      </c>
      <c r="AC22" s="68" t="str">
        <f aca="false">IF(AND(ISNUMBER($C22),AC$6&lt;=$C22,AC$6+6&gt;=$C22),"♦","")</f>
        <v/>
      </c>
      <c r="AD22" s="68" t="str">
        <f aca="false">IF(AND(ISNUMBER($C22),AD$6&lt;=$C22,AD$6+6&gt;=$C22),"♦","")</f>
        <v/>
      </c>
      <c r="AE22" s="68" t="str">
        <f aca="false">IF(AND(ISNUMBER($C22),AE$6&lt;=$C22,AE$6+6&gt;=$C22),"♦","")</f>
        <v/>
      </c>
      <c r="AF22" s="68" t="str">
        <f aca="false">IF(AND(ISNUMBER($C22),AF$6&lt;=$C22,AF$6+6&gt;=$C22),"♦","")</f>
        <v/>
      </c>
      <c r="AG22" s="68" t="str">
        <f aca="false">IF(AND(ISNUMBER($C22),AG$6&lt;=$C22,AG$6+6&gt;=$C22),"♦","")</f>
        <v/>
      </c>
      <c r="AH22" s="68" t="str">
        <f aca="false">IF(AND(ISNUMBER($C22),AH$6&lt;=$C22,AH$6+6&gt;=$C22),"♦","")</f>
        <v/>
      </c>
      <c r="AI22" s="68" t="str">
        <f aca="false">IF(AND(ISNUMBER($C22),AI$6&lt;=$C22,AI$6+6&gt;=$C22),"♦","")</f>
        <v/>
      </c>
      <c r="AJ22" s="68" t="str">
        <f aca="false">IF(AND(ISNUMBER($C22),AJ$6&lt;=$C22,AJ$6+6&gt;=$C22),"♦","")</f>
        <v/>
      </c>
      <c r="AK22" s="68" t="str">
        <f aca="false">IF(AND(ISNUMBER($C22),AK$6&lt;=$C22,AK$6+6&gt;=$C22),"♦","")</f>
        <v/>
      </c>
      <c r="AL22" s="68" t="str">
        <f aca="false">IF(AND(ISNUMBER($C22),AL$6&lt;=$C22,AL$6+6&gt;=$C22),"♦","")</f>
        <v/>
      </c>
      <c r="AM22" s="68" t="str">
        <f aca="false">IF(AND(ISNUMBER($C22),AM$6&lt;=$C22,AM$6+6&gt;=$C22),"♦","")</f>
        <v/>
      </c>
      <c r="AN22" s="68" t="str">
        <f aca="false">IF(AND(ISNUMBER($C22),AN$6&lt;=$C22,AN$6+6&gt;=$C22),"♦","")</f>
        <v/>
      </c>
      <c r="AO22" s="68" t="str">
        <f aca="false">IF(AND(ISNUMBER($C22),AO$6&lt;=$C22,AO$6+6&gt;=$C22),"♦","")</f>
        <v/>
      </c>
      <c r="AP22" s="68" t="str">
        <f aca="false">IF(AND(ISNUMBER($C22),AP$6&lt;=$C22,AP$6+6&gt;=$C22),"♦","")</f>
        <v/>
      </c>
      <c r="AQ22" s="68" t="str">
        <f aca="false">IF(AND(ISNUMBER($C22),AQ$6&lt;=$C22,AQ$6+6&gt;=$C22),"♦","")</f>
        <v/>
      </c>
      <c r="AR22" s="68" t="str">
        <f aca="false">IF(AND(ISNUMBER($C22),AR$6&lt;=$C22,AR$6+6&gt;=$C22),"♦","")</f>
        <v/>
      </c>
      <c r="AS22" s="68" t="str">
        <f aca="false">IF(AND(ISNUMBER($C22),AS$6&lt;=$C22,AS$6+6&gt;=$C22),"♦","")</f>
        <v/>
      </c>
      <c r="AT22" s="68" t="str">
        <f aca="false">IF(AND(ISNUMBER($C22),AT$6&lt;=$C22,AT$6+6&gt;=$C22),"♦","")</f>
        <v/>
      </c>
      <c r="AU22" s="68" t="str">
        <f aca="false">IF(AND(ISNUMBER($C22),AU$6&lt;=$C22,AU$6+6&gt;=$C22),"♦","")</f>
        <v/>
      </c>
      <c r="AV22" s="68" t="str">
        <f aca="false">IF(AND(ISNUMBER($C22),AV$6&lt;=$C22,AV$6+6&gt;=$C22),"♦","")</f>
        <v/>
      </c>
      <c r="AW22" s="68" t="str">
        <f aca="false">IF(AND(ISNUMBER($C22),AW$6&lt;=$C22,AW$6+6&gt;=$C22),"♦","")</f>
        <v/>
      </c>
      <c r="AX22" s="68" t="str">
        <f aca="false">IF(AND(ISNUMBER($C22),AX$6&lt;=$C22,AX$6+6&gt;=$C22),"♦","")</f>
        <v/>
      </c>
      <c r="AY22" s="68" t="str">
        <f aca="false">IF(AND(ISNUMBER($C22),AY$6&lt;=$C22,AY$6+6&gt;=$C22),"♦","")</f>
        <v/>
      </c>
      <c r="AZ22" s="68" t="str">
        <f aca="false">IF(AND(ISNUMBER($C22),AZ$6&lt;=$C22,AZ$6+6&gt;=$C22),"♦","")</f>
        <v/>
      </c>
      <c r="BA22" s="68" t="str">
        <f aca="false">IF(AND(ISNUMBER($C22),BA$6&lt;=$C22,BA$6+6&gt;=$C22),"♦","")</f>
        <v/>
      </c>
      <c r="BB22" s="68" t="str">
        <f aca="false">IF(AND(ISNUMBER($C22),BB$6&lt;=$C22,BB$6+6&gt;=$C22),"♦","")</f>
        <v/>
      </c>
      <c r="BC22" s="68" t="str">
        <f aca="false">IF(AND(ISNUMBER($C22),BC$6&lt;=$C22,BC$6+6&gt;=$C22),"♦","")</f>
        <v/>
      </c>
      <c r="BD22" s="68" t="str">
        <f aca="false">IF(AND(ISNUMBER($C22),BD$6&lt;=$C22,BD$6+6&gt;=$C22),"♦","")</f>
        <v/>
      </c>
      <c r="BE22" s="68" t="str">
        <f aca="false">IF(AND(ISNUMBER($C22),BE$6&lt;=$C22,BE$6+6&gt;=$C22),"♦","")</f>
        <v/>
      </c>
      <c r="BF22" s="68" t="str">
        <f aca="false">IF(AND(ISNUMBER($C22),BF$6&lt;=$C22,BF$6+6&gt;=$C22),"♦","")</f>
        <v/>
      </c>
      <c r="BG22" s="68" t="str">
        <f aca="false">IF(AND(ISNUMBER($C22),BG$6&lt;=$C22,BG$6+6&gt;=$C22),"♦","")</f>
        <v/>
      </c>
      <c r="BH22" s="68" t="str">
        <f aca="false">IF(AND(ISNUMBER($C22),BH$6&lt;=$C22,BH$6+6&gt;=$C22),"♦","")</f>
        <v/>
      </c>
      <c r="BI22" s="68" t="str">
        <f aca="false">IF(AND(ISNUMBER($C22),BI$6&lt;=$C22,BI$6+6&gt;=$C22),"♦","")</f>
        <v/>
      </c>
      <c r="BJ22" s="68" t="str">
        <f aca="false">IF(AND(ISNUMBER($C22),BJ$6&lt;=$C22,BJ$6+6&gt;=$C22),"♦","")</f>
        <v/>
      </c>
    </row>
    <row r="23" customFormat="false" ht="15" hidden="false" customHeight="true" outlineLevel="0" collapsed="false">
      <c r="A23" s="23"/>
      <c r="B23" s="23"/>
      <c r="C23" s="66"/>
      <c r="D23" s="66"/>
      <c r="E23" s="66"/>
      <c r="F23" s="42"/>
      <c r="G23" s="67" t="str">
        <f aca="false">IF(OR(D23="",E23=""),"",NETWORKDAYS(D23,E23,Feries))</f>
        <v/>
      </c>
      <c r="H23" s="42" t="str">
        <f aca="false">IF(A23="","",IFERROR(INDEX(Lot_type,MATCH(A23,Lot_nom,0)),"Game"))</f>
        <v/>
      </c>
      <c r="I23" s="42"/>
      <c r="J23" s="68" t="str">
        <f aca="false">IF(AND(ISNUMBER($C23),J$6&lt;=$C23,J$6+6&gt;=$C23),"♦","")</f>
        <v/>
      </c>
      <c r="K23" s="68" t="str">
        <f aca="false">IF(AND(ISNUMBER($C23),K$6&lt;=$C23,K$6+6&gt;=$C23),"♦","")</f>
        <v/>
      </c>
      <c r="L23" s="68" t="str">
        <f aca="false">IF(AND(ISNUMBER($C23),L$6&lt;=$C23,L$6+6&gt;=$C23),"♦","")</f>
        <v/>
      </c>
      <c r="M23" s="68" t="str">
        <f aca="false">IF(AND(ISNUMBER($C23),M$6&lt;=$C23,M$6+6&gt;=$C23),"♦","")</f>
        <v/>
      </c>
      <c r="N23" s="68" t="str">
        <f aca="false">IF(AND(ISNUMBER($C23),N$6&lt;=$C23,N$6+6&gt;=$C23),"♦","")</f>
        <v/>
      </c>
      <c r="O23" s="68" t="str">
        <f aca="false">IF(AND(ISNUMBER($C23),O$6&lt;=$C23,O$6+6&gt;=$C23),"♦","")</f>
        <v/>
      </c>
      <c r="P23" s="68" t="str">
        <f aca="false">IF(AND(ISNUMBER($C23),P$6&lt;=$C23,P$6+6&gt;=$C23),"♦","")</f>
        <v/>
      </c>
      <c r="Q23" s="68" t="str">
        <f aca="false">IF(AND(ISNUMBER($C23),Q$6&lt;=$C23,Q$6+6&gt;=$C23),"♦","")</f>
        <v/>
      </c>
      <c r="R23" s="68" t="str">
        <f aca="false">IF(AND(ISNUMBER($C23),R$6&lt;=$C23,R$6+6&gt;=$C23),"♦","")</f>
        <v/>
      </c>
      <c r="S23" s="68" t="str">
        <f aca="false">IF(AND(ISNUMBER($C23),S$6&lt;=$C23,S$6+6&gt;=$C23),"♦","")</f>
        <v/>
      </c>
      <c r="T23" s="68" t="str">
        <f aca="false">IF(AND(ISNUMBER($C23),T$6&lt;=$C23,T$6+6&gt;=$C23),"♦","")</f>
        <v/>
      </c>
      <c r="U23" s="68" t="str">
        <f aca="false">IF(AND(ISNUMBER($C23),U$6&lt;=$C23,U$6+6&gt;=$C23),"♦","")</f>
        <v/>
      </c>
      <c r="V23" s="68" t="str">
        <f aca="false">IF(AND(ISNUMBER($C23),V$6&lt;=$C23,V$6+6&gt;=$C23),"♦","")</f>
        <v/>
      </c>
      <c r="W23" s="68" t="str">
        <f aca="false">IF(AND(ISNUMBER($C23),W$6&lt;=$C23,W$6+6&gt;=$C23),"♦","")</f>
        <v/>
      </c>
      <c r="X23" s="68" t="str">
        <f aca="false">IF(AND(ISNUMBER($C23),X$6&lt;=$C23,X$6+6&gt;=$C23),"♦","")</f>
        <v/>
      </c>
      <c r="Y23" s="68" t="str">
        <f aca="false">IF(AND(ISNUMBER($C23),Y$6&lt;=$C23,Y$6+6&gt;=$C23),"♦","")</f>
        <v/>
      </c>
      <c r="Z23" s="68" t="str">
        <f aca="false">IF(AND(ISNUMBER($C23),Z$6&lt;=$C23,Z$6+6&gt;=$C23),"♦","")</f>
        <v/>
      </c>
      <c r="AA23" s="68" t="str">
        <f aca="false">IF(AND(ISNUMBER($C23),AA$6&lt;=$C23,AA$6+6&gt;=$C23),"♦","")</f>
        <v/>
      </c>
      <c r="AB23" s="68" t="str">
        <f aca="false">IF(AND(ISNUMBER($C23),AB$6&lt;=$C23,AB$6+6&gt;=$C23),"♦","")</f>
        <v/>
      </c>
      <c r="AC23" s="68" t="str">
        <f aca="false">IF(AND(ISNUMBER($C23),AC$6&lt;=$C23,AC$6+6&gt;=$C23),"♦","")</f>
        <v/>
      </c>
      <c r="AD23" s="68" t="str">
        <f aca="false">IF(AND(ISNUMBER($C23),AD$6&lt;=$C23,AD$6+6&gt;=$C23),"♦","")</f>
        <v/>
      </c>
      <c r="AE23" s="68" t="str">
        <f aca="false">IF(AND(ISNUMBER($C23),AE$6&lt;=$C23,AE$6+6&gt;=$C23),"♦","")</f>
        <v/>
      </c>
      <c r="AF23" s="68" t="str">
        <f aca="false">IF(AND(ISNUMBER($C23),AF$6&lt;=$C23,AF$6+6&gt;=$C23),"♦","")</f>
        <v/>
      </c>
      <c r="AG23" s="68" t="str">
        <f aca="false">IF(AND(ISNUMBER($C23),AG$6&lt;=$C23,AG$6+6&gt;=$C23),"♦","")</f>
        <v/>
      </c>
      <c r="AH23" s="68" t="str">
        <f aca="false">IF(AND(ISNUMBER($C23),AH$6&lt;=$C23,AH$6+6&gt;=$C23),"♦","")</f>
        <v/>
      </c>
      <c r="AI23" s="68" t="str">
        <f aca="false">IF(AND(ISNUMBER($C23),AI$6&lt;=$C23,AI$6+6&gt;=$C23),"♦","")</f>
        <v/>
      </c>
      <c r="AJ23" s="68" t="str">
        <f aca="false">IF(AND(ISNUMBER($C23),AJ$6&lt;=$C23,AJ$6+6&gt;=$C23),"♦","")</f>
        <v/>
      </c>
      <c r="AK23" s="68" t="str">
        <f aca="false">IF(AND(ISNUMBER($C23),AK$6&lt;=$C23,AK$6+6&gt;=$C23),"♦","")</f>
        <v/>
      </c>
      <c r="AL23" s="68" t="str">
        <f aca="false">IF(AND(ISNUMBER($C23),AL$6&lt;=$C23,AL$6+6&gt;=$C23),"♦","")</f>
        <v/>
      </c>
      <c r="AM23" s="68" t="str">
        <f aca="false">IF(AND(ISNUMBER($C23),AM$6&lt;=$C23,AM$6+6&gt;=$C23),"♦","")</f>
        <v/>
      </c>
      <c r="AN23" s="68" t="str">
        <f aca="false">IF(AND(ISNUMBER($C23),AN$6&lt;=$C23,AN$6+6&gt;=$C23),"♦","")</f>
        <v/>
      </c>
      <c r="AO23" s="68" t="str">
        <f aca="false">IF(AND(ISNUMBER($C23),AO$6&lt;=$C23,AO$6+6&gt;=$C23),"♦","")</f>
        <v/>
      </c>
      <c r="AP23" s="68" t="str">
        <f aca="false">IF(AND(ISNUMBER($C23),AP$6&lt;=$C23,AP$6+6&gt;=$C23),"♦","")</f>
        <v/>
      </c>
      <c r="AQ23" s="68" t="str">
        <f aca="false">IF(AND(ISNUMBER($C23),AQ$6&lt;=$C23,AQ$6+6&gt;=$C23),"♦","")</f>
        <v/>
      </c>
      <c r="AR23" s="68" t="str">
        <f aca="false">IF(AND(ISNUMBER($C23),AR$6&lt;=$C23,AR$6+6&gt;=$C23),"♦","")</f>
        <v/>
      </c>
      <c r="AS23" s="68" t="str">
        <f aca="false">IF(AND(ISNUMBER($C23),AS$6&lt;=$C23,AS$6+6&gt;=$C23),"♦","")</f>
        <v/>
      </c>
      <c r="AT23" s="68" t="str">
        <f aca="false">IF(AND(ISNUMBER($C23),AT$6&lt;=$C23,AT$6+6&gt;=$C23),"♦","")</f>
        <v/>
      </c>
      <c r="AU23" s="68" t="str">
        <f aca="false">IF(AND(ISNUMBER($C23),AU$6&lt;=$C23,AU$6+6&gt;=$C23),"♦","")</f>
        <v/>
      </c>
      <c r="AV23" s="68" t="str">
        <f aca="false">IF(AND(ISNUMBER($C23),AV$6&lt;=$C23,AV$6+6&gt;=$C23),"♦","")</f>
        <v/>
      </c>
      <c r="AW23" s="68" t="str">
        <f aca="false">IF(AND(ISNUMBER($C23),AW$6&lt;=$C23,AW$6+6&gt;=$C23),"♦","")</f>
        <v/>
      </c>
      <c r="AX23" s="68" t="str">
        <f aca="false">IF(AND(ISNUMBER($C23),AX$6&lt;=$C23,AX$6+6&gt;=$C23),"♦","")</f>
        <v/>
      </c>
      <c r="AY23" s="68" t="str">
        <f aca="false">IF(AND(ISNUMBER($C23),AY$6&lt;=$C23,AY$6+6&gt;=$C23),"♦","")</f>
        <v/>
      </c>
      <c r="AZ23" s="68" t="str">
        <f aca="false">IF(AND(ISNUMBER($C23),AZ$6&lt;=$C23,AZ$6+6&gt;=$C23),"♦","")</f>
        <v/>
      </c>
      <c r="BA23" s="68" t="str">
        <f aca="false">IF(AND(ISNUMBER($C23),BA$6&lt;=$C23,BA$6+6&gt;=$C23),"♦","")</f>
        <v/>
      </c>
      <c r="BB23" s="68" t="str">
        <f aca="false">IF(AND(ISNUMBER($C23),BB$6&lt;=$C23,BB$6+6&gt;=$C23),"♦","")</f>
        <v/>
      </c>
      <c r="BC23" s="68" t="str">
        <f aca="false">IF(AND(ISNUMBER($C23),BC$6&lt;=$C23,BC$6+6&gt;=$C23),"♦","")</f>
        <v/>
      </c>
      <c r="BD23" s="68" t="str">
        <f aca="false">IF(AND(ISNUMBER($C23),BD$6&lt;=$C23,BD$6+6&gt;=$C23),"♦","")</f>
        <v/>
      </c>
      <c r="BE23" s="68" t="str">
        <f aca="false">IF(AND(ISNUMBER($C23),BE$6&lt;=$C23,BE$6+6&gt;=$C23),"♦","")</f>
        <v/>
      </c>
      <c r="BF23" s="68" t="str">
        <f aca="false">IF(AND(ISNUMBER($C23),BF$6&lt;=$C23,BF$6+6&gt;=$C23),"♦","")</f>
        <v/>
      </c>
      <c r="BG23" s="68" t="str">
        <f aca="false">IF(AND(ISNUMBER($C23),BG$6&lt;=$C23,BG$6+6&gt;=$C23),"♦","")</f>
        <v/>
      </c>
      <c r="BH23" s="68" t="str">
        <f aca="false">IF(AND(ISNUMBER($C23),BH$6&lt;=$C23,BH$6+6&gt;=$C23),"♦","")</f>
        <v/>
      </c>
      <c r="BI23" s="68" t="str">
        <f aca="false">IF(AND(ISNUMBER($C23),BI$6&lt;=$C23,BI$6+6&gt;=$C23),"♦","")</f>
        <v/>
      </c>
      <c r="BJ23" s="68" t="str">
        <f aca="false">IF(AND(ISNUMBER($C23),BJ$6&lt;=$C23,BJ$6+6&gt;=$C23),"♦","")</f>
        <v/>
      </c>
    </row>
    <row r="24" customFormat="false" ht="15" hidden="false" customHeight="true" outlineLevel="0" collapsed="false">
      <c r="A24" s="23"/>
      <c r="B24" s="23"/>
      <c r="C24" s="66"/>
      <c r="D24" s="66"/>
      <c r="E24" s="66"/>
      <c r="F24" s="42"/>
      <c r="G24" s="67" t="str">
        <f aca="false">IF(OR(D24="",E24=""),"",NETWORKDAYS(D24,E24,Feries))</f>
        <v/>
      </c>
      <c r="H24" s="42" t="str">
        <f aca="false">IF(A24="","",IFERROR(INDEX(Lot_type,MATCH(A24,Lot_nom,0)),"Game"))</f>
        <v/>
      </c>
      <c r="I24" s="42"/>
      <c r="J24" s="68" t="str">
        <f aca="false">IF(AND(ISNUMBER($C24),J$6&lt;=$C24,J$6+6&gt;=$C24),"♦","")</f>
        <v/>
      </c>
      <c r="K24" s="68" t="str">
        <f aca="false">IF(AND(ISNUMBER($C24),K$6&lt;=$C24,K$6+6&gt;=$C24),"♦","")</f>
        <v/>
      </c>
      <c r="L24" s="68" t="str">
        <f aca="false">IF(AND(ISNUMBER($C24),L$6&lt;=$C24,L$6+6&gt;=$C24),"♦","")</f>
        <v/>
      </c>
      <c r="M24" s="68" t="str">
        <f aca="false">IF(AND(ISNUMBER($C24),M$6&lt;=$C24,M$6+6&gt;=$C24),"♦","")</f>
        <v/>
      </c>
      <c r="N24" s="68" t="str">
        <f aca="false">IF(AND(ISNUMBER($C24),N$6&lt;=$C24,N$6+6&gt;=$C24),"♦","")</f>
        <v/>
      </c>
      <c r="O24" s="68" t="str">
        <f aca="false">IF(AND(ISNUMBER($C24),O$6&lt;=$C24,O$6+6&gt;=$C24),"♦","")</f>
        <v/>
      </c>
      <c r="P24" s="68" t="str">
        <f aca="false">IF(AND(ISNUMBER($C24),P$6&lt;=$C24,P$6+6&gt;=$C24),"♦","")</f>
        <v/>
      </c>
      <c r="Q24" s="68" t="str">
        <f aca="false">IF(AND(ISNUMBER($C24),Q$6&lt;=$C24,Q$6+6&gt;=$C24),"♦","")</f>
        <v/>
      </c>
      <c r="R24" s="68" t="str">
        <f aca="false">IF(AND(ISNUMBER($C24),R$6&lt;=$C24,R$6+6&gt;=$C24),"♦","")</f>
        <v/>
      </c>
      <c r="S24" s="68" t="str">
        <f aca="false">IF(AND(ISNUMBER($C24),S$6&lt;=$C24,S$6+6&gt;=$C24),"♦","")</f>
        <v/>
      </c>
      <c r="T24" s="68" t="str">
        <f aca="false">IF(AND(ISNUMBER($C24),T$6&lt;=$C24,T$6+6&gt;=$C24),"♦","")</f>
        <v/>
      </c>
      <c r="U24" s="68" t="str">
        <f aca="false">IF(AND(ISNUMBER($C24),U$6&lt;=$C24,U$6+6&gt;=$C24),"♦","")</f>
        <v/>
      </c>
      <c r="V24" s="68" t="str">
        <f aca="false">IF(AND(ISNUMBER($C24),V$6&lt;=$C24,V$6+6&gt;=$C24),"♦","")</f>
        <v/>
      </c>
      <c r="W24" s="68" t="str">
        <f aca="false">IF(AND(ISNUMBER($C24),W$6&lt;=$C24,W$6+6&gt;=$C24),"♦","")</f>
        <v/>
      </c>
      <c r="X24" s="68" t="str">
        <f aca="false">IF(AND(ISNUMBER($C24),X$6&lt;=$C24,X$6+6&gt;=$C24),"♦","")</f>
        <v/>
      </c>
      <c r="Y24" s="68" t="str">
        <f aca="false">IF(AND(ISNUMBER($C24),Y$6&lt;=$C24,Y$6+6&gt;=$C24),"♦","")</f>
        <v/>
      </c>
      <c r="Z24" s="68" t="str">
        <f aca="false">IF(AND(ISNUMBER($C24),Z$6&lt;=$C24,Z$6+6&gt;=$C24),"♦","")</f>
        <v/>
      </c>
      <c r="AA24" s="68" t="str">
        <f aca="false">IF(AND(ISNUMBER($C24),AA$6&lt;=$C24,AA$6+6&gt;=$C24),"♦","")</f>
        <v/>
      </c>
      <c r="AB24" s="68" t="str">
        <f aca="false">IF(AND(ISNUMBER($C24),AB$6&lt;=$C24,AB$6+6&gt;=$C24),"♦","")</f>
        <v/>
      </c>
      <c r="AC24" s="68" t="str">
        <f aca="false">IF(AND(ISNUMBER($C24),AC$6&lt;=$C24,AC$6+6&gt;=$C24),"♦","")</f>
        <v/>
      </c>
      <c r="AD24" s="68" t="str">
        <f aca="false">IF(AND(ISNUMBER($C24),AD$6&lt;=$C24,AD$6+6&gt;=$C24),"♦","")</f>
        <v/>
      </c>
      <c r="AE24" s="68" t="str">
        <f aca="false">IF(AND(ISNUMBER($C24),AE$6&lt;=$C24,AE$6+6&gt;=$C24),"♦","")</f>
        <v/>
      </c>
      <c r="AF24" s="68" t="str">
        <f aca="false">IF(AND(ISNUMBER($C24),AF$6&lt;=$C24,AF$6+6&gt;=$C24),"♦","")</f>
        <v/>
      </c>
      <c r="AG24" s="68" t="str">
        <f aca="false">IF(AND(ISNUMBER($C24),AG$6&lt;=$C24,AG$6+6&gt;=$C24),"♦","")</f>
        <v/>
      </c>
      <c r="AH24" s="68" t="str">
        <f aca="false">IF(AND(ISNUMBER($C24),AH$6&lt;=$C24,AH$6+6&gt;=$C24),"♦","")</f>
        <v/>
      </c>
      <c r="AI24" s="68" t="str">
        <f aca="false">IF(AND(ISNUMBER($C24),AI$6&lt;=$C24,AI$6+6&gt;=$C24),"♦","")</f>
        <v/>
      </c>
      <c r="AJ24" s="68" t="str">
        <f aca="false">IF(AND(ISNUMBER($C24),AJ$6&lt;=$C24,AJ$6+6&gt;=$C24),"♦","")</f>
        <v/>
      </c>
      <c r="AK24" s="68" t="str">
        <f aca="false">IF(AND(ISNUMBER($C24),AK$6&lt;=$C24,AK$6+6&gt;=$C24),"♦","")</f>
        <v/>
      </c>
      <c r="AL24" s="68" t="str">
        <f aca="false">IF(AND(ISNUMBER($C24),AL$6&lt;=$C24,AL$6+6&gt;=$C24),"♦","")</f>
        <v/>
      </c>
      <c r="AM24" s="68" t="str">
        <f aca="false">IF(AND(ISNUMBER($C24),AM$6&lt;=$C24,AM$6+6&gt;=$C24),"♦","")</f>
        <v/>
      </c>
      <c r="AN24" s="68" t="str">
        <f aca="false">IF(AND(ISNUMBER($C24),AN$6&lt;=$C24,AN$6+6&gt;=$C24),"♦","")</f>
        <v/>
      </c>
      <c r="AO24" s="68" t="str">
        <f aca="false">IF(AND(ISNUMBER($C24),AO$6&lt;=$C24,AO$6+6&gt;=$C24),"♦","")</f>
        <v/>
      </c>
      <c r="AP24" s="68" t="str">
        <f aca="false">IF(AND(ISNUMBER($C24),AP$6&lt;=$C24,AP$6+6&gt;=$C24),"♦","")</f>
        <v/>
      </c>
      <c r="AQ24" s="68" t="str">
        <f aca="false">IF(AND(ISNUMBER($C24),AQ$6&lt;=$C24,AQ$6+6&gt;=$C24),"♦","")</f>
        <v/>
      </c>
      <c r="AR24" s="68" t="str">
        <f aca="false">IF(AND(ISNUMBER($C24),AR$6&lt;=$C24,AR$6+6&gt;=$C24),"♦","")</f>
        <v/>
      </c>
      <c r="AS24" s="68" t="str">
        <f aca="false">IF(AND(ISNUMBER($C24),AS$6&lt;=$C24,AS$6+6&gt;=$C24),"♦","")</f>
        <v/>
      </c>
      <c r="AT24" s="68" t="str">
        <f aca="false">IF(AND(ISNUMBER($C24),AT$6&lt;=$C24,AT$6+6&gt;=$C24),"♦","")</f>
        <v/>
      </c>
      <c r="AU24" s="68" t="str">
        <f aca="false">IF(AND(ISNUMBER($C24),AU$6&lt;=$C24,AU$6+6&gt;=$C24),"♦","")</f>
        <v/>
      </c>
      <c r="AV24" s="68" t="str">
        <f aca="false">IF(AND(ISNUMBER($C24),AV$6&lt;=$C24,AV$6+6&gt;=$C24),"♦","")</f>
        <v/>
      </c>
      <c r="AW24" s="68" t="str">
        <f aca="false">IF(AND(ISNUMBER($C24),AW$6&lt;=$C24,AW$6+6&gt;=$C24),"♦","")</f>
        <v/>
      </c>
      <c r="AX24" s="68" t="str">
        <f aca="false">IF(AND(ISNUMBER($C24),AX$6&lt;=$C24,AX$6+6&gt;=$C24),"♦","")</f>
        <v/>
      </c>
      <c r="AY24" s="68" t="str">
        <f aca="false">IF(AND(ISNUMBER($C24),AY$6&lt;=$C24,AY$6+6&gt;=$C24),"♦","")</f>
        <v/>
      </c>
      <c r="AZ24" s="68" t="str">
        <f aca="false">IF(AND(ISNUMBER($C24),AZ$6&lt;=$C24,AZ$6+6&gt;=$C24),"♦","")</f>
        <v/>
      </c>
      <c r="BA24" s="68" t="str">
        <f aca="false">IF(AND(ISNUMBER($C24),BA$6&lt;=$C24,BA$6+6&gt;=$C24),"♦","")</f>
        <v/>
      </c>
      <c r="BB24" s="68" t="str">
        <f aca="false">IF(AND(ISNUMBER($C24),BB$6&lt;=$C24,BB$6+6&gt;=$C24),"♦","")</f>
        <v/>
      </c>
      <c r="BC24" s="68" t="str">
        <f aca="false">IF(AND(ISNUMBER($C24),BC$6&lt;=$C24,BC$6+6&gt;=$C24),"♦","")</f>
        <v/>
      </c>
      <c r="BD24" s="68" t="str">
        <f aca="false">IF(AND(ISNUMBER($C24),BD$6&lt;=$C24,BD$6+6&gt;=$C24),"♦","")</f>
        <v/>
      </c>
      <c r="BE24" s="68" t="str">
        <f aca="false">IF(AND(ISNUMBER($C24),BE$6&lt;=$C24,BE$6+6&gt;=$C24),"♦","")</f>
        <v/>
      </c>
      <c r="BF24" s="68" t="str">
        <f aca="false">IF(AND(ISNUMBER($C24),BF$6&lt;=$C24,BF$6+6&gt;=$C24),"♦","")</f>
        <v/>
      </c>
      <c r="BG24" s="68" t="str">
        <f aca="false">IF(AND(ISNUMBER($C24),BG$6&lt;=$C24,BG$6+6&gt;=$C24),"♦","")</f>
        <v/>
      </c>
      <c r="BH24" s="68" t="str">
        <f aca="false">IF(AND(ISNUMBER($C24),BH$6&lt;=$C24,BH$6+6&gt;=$C24),"♦","")</f>
        <v/>
      </c>
      <c r="BI24" s="68" t="str">
        <f aca="false">IF(AND(ISNUMBER($C24),BI$6&lt;=$C24,BI$6+6&gt;=$C24),"♦","")</f>
        <v/>
      </c>
      <c r="BJ24" s="68" t="str">
        <f aca="false">IF(AND(ISNUMBER($C24),BJ$6&lt;=$C24,BJ$6+6&gt;=$C24),"♦","")</f>
        <v/>
      </c>
    </row>
    <row r="25" customFormat="false" ht="15" hidden="false" customHeight="true" outlineLevel="0" collapsed="false">
      <c r="A25" s="23"/>
      <c r="B25" s="23"/>
      <c r="C25" s="66"/>
      <c r="D25" s="66"/>
      <c r="E25" s="66"/>
      <c r="F25" s="42"/>
      <c r="G25" s="67" t="str">
        <f aca="false">IF(OR(D25="",E25=""),"",NETWORKDAYS(D25,E25,Feries))</f>
        <v/>
      </c>
      <c r="H25" s="42" t="str">
        <f aca="false">IF(A25="","",IFERROR(INDEX(Lot_type,MATCH(A25,Lot_nom,0)),"Game"))</f>
        <v/>
      </c>
      <c r="I25" s="42"/>
      <c r="J25" s="68" t="str">
        <f aca="false">IF(AND(ISNUMBER($C25),J$6&lt;=$C25,J$6+6&gt;=$C25),"♦","")</f>
        <v/>
      </c>
      <c r="K25" s="68" t="str">
        <f aca="false">IF(AND(ISNUMBER($C25),K$6&lt;=$C25,K$6+6&gt;=$C25),"♦","")</f>
        <v/>
      </c>
      <c r="L25" s="68" t="str">
        <f aca="false">IF(AND(ISNUMBER($C25),L$6&lt;=$C25,L$6+6&gt;=$C25),"♦","")</f>
        <v/>
      </c>
      <c r="M25" s="68" t="str">
        <f aca="false">IF(AND(ISNUMBER($C25),M$6&lt;=$C25,M$6+6&gt;=$C25),"♦","")</f>
        <v/>
      </c>
      <c r="N25" s="68" t="str">
        <f aca="false">IF(AND(ISNUMBER($C25),N$6&lt;=$C25,N$6+6&gt;=$C25),"♦","")</f>
        <v/>
      </c>
      <c r="O25" s="68" t="str">
        <f aca="false">IF(AND(ISNUMBER($C25),O$6&lt;=$C25,O$6+6&gt;=$C25),"♦","")</f>
        <v/>
      </c>
      <c r="P25" s="68" t="str">
        <f aca="false">IF(AND(ISNUMBER($C25),P$6&lt;=$C25,P$6+6&gt;=$C25),"♦","")</f>
        <v/>
      </c>
      <c r="Q25" s="68" t="str">
        <f aca="false">IF(AND(ISNUMBER($C25),Q$6&lt;=$C25,Q$6+6&gt;=$C25),"♦","")</f>
        <v/>
      </c>
      <c r="R25" s="68" t="str">
        <f aca="false">IF(AND(ISNUMBER($C25),R$6&lt;=$C25,R$6+6&gt;=$C25),"♦","")</f>
        <v/>
      </c>
      <c r="S25" s="68" t="str">
        <f aca="false">IF(AND(ISNUMBER($C25),S$6&lt;=$C25,S$6+6&gt;=$C25),"♦","")</f>
        <v/>
      </c>
      <c r="T25" s="68" t="str">
        <f aca="false">IF(AND(ISNUMBER($C25),T$6&lt;=$C25,T$6+6&gt;=$C25),"♦","")</f>
        <v/>
      </c>
      <c r="U25" s="68" t="str">
        <f aca="false">IF(AND(ISNUMBER($C25),U$6&lt;=$C25,U$6+6&gt;=$C25),"♦","")</f>
        <v/>
      </c>
      <c r="V25" s="68" t="str">
        <f aca="false">IF(AND(ISNUMBER($C25),V$6&lt;=$C25,V$6+6&gt;=$C25),"♦","")</f>
        <v/>
      </c>
      <c r="W25" s="68" t="str">
        <f aca="false">IF(AND(ISNUMBER($C25),W$6&lt;=$C25,W$6+6&gt;=$C25),"♦","")</f>
        <v/>
      </c>
      <c r="X25" s="68" t="str">
        <f aca="false">IF(AND(ISNUMBER($C25),X$6&lt;=$C25,X$6+6&gt;=$C25),"♦","")</f>
        <v/>
      </c>
      <c r="Y25" s="68" t="str">
        <f aca="false">IF(AND(ISNUMBER($C25),Y$6&lt;=$C25,Y$6+6&gt;=$C25),"♦","")</f>
        <v/>
      </c>
      <c r="Z25" s="68" t="str">
        <f aca="false">IF(AND(ISNUMBER($C25),Z$6&lt;=$C25,Z$6+6&gt;=$C25),"♦","")</f>
        <v/>
      </c>
      <c r="AA25" s="68" t="str">
        <f aca="false">IF(AND(ISNUMBER($C25),AA$6&lt;=$C25,AA$6+6&gt;=$C25),"♦","")</f>
        <v/>
      </c>
      <c r="AB25" s="68" t="str">
        <f aca="false">IF(AND(ISNUMBER($C25),AB$6&lt;=$C25,AB$6+6&gt;=$C25),"♦","")</f>
        <v/>
      </c>
      <c r="AC25" s="68" t="str">
        <f aca="false">IF(AND(ISNUMBER($C25),AC$6&lt;=$C25,AC$6+6&gt;=$C25),"♦","")</f>
        <v/>
      </c>
      <c r="AD25" s="68" t="str">
        <f aca="false">IF(AND(ISNUMBER($C25),AD$6&lt;=$C25,AD$6+6&gt;=$C25),"♦","")</f>
        <v/>
      </c>
      <c r="AE25" s="68" t="str">
        <f aca="false">IF(AND(ISNUMBER($C25),AE$6&lt;=$C25,AE$6+6&gt;=$C25),"♦","")</f>
        <v/>
      </c>
      <c r="AF25" s="68" t="str">
        <f aca="false">IF(AND(ISNUMBER($C25),AF$6&lt;=$C25,AF$6+6&gt;=$C25),"♦","")</f>
        <v/>
      </c>
      <c r="AG25" s="68" t="str">
        <f aca="false">IF(AND(ISNUMBER($C25),AG$6&lt;=$C25,AG$6+6&gt;=$C25),"♦","")</f>
        <v/>
      </c>
      <c r="AH25" s="68" t="str">
        <f aca="false">IF(AND(ISNUMBER($C25),AH$6&lt;=$C25,AH$6+6&gt;=$C25),"♦","")</f>
        <v/>
      </c>
      <c r="AI25" s="68" t="str">
        <f aca="false">IF(AND(ISNUMBER($C25),AI$6&lt;=$C25,AI$6+6&gt;=$C25),"♦","")</f>
        <v/>
      </c>
      <c r="AJ25" s="68" t="str">
        <f aca="false">IF(AND(ISNUMBER($C25),AJ$6&lt;=$C25,AJ$6+6&gt;=$C25),"♦","")</f>
        <v/>
      </c>
      <c r="AK25" s="68" t="str">
        <f aca="false">IF(AND(ISNUMBER($C25),AK$6&lt;=$C25,AK$6+6&gt;=$C25),"♦","")</f>
        <v/>
      </c>
      <c r="AL25" s="68" t="str">
        <f aca="false">IF(AND(ISNUMBER($C25),AL$6&lt;=$C25,AL$6+6&gt;=$C25),"♦","")</f>
        <v/>
      </c>
      <c r="AM25" s="68" t="str">
        <f aca="false">IF(AND(ISNUMBER($C25),AM$6&lt;=$C25,AM$6+6&gt;=$C25),"♦","")</f>
        <v/>
      </c>
      <c r="AN25" s="68" t="str">
        <f aca="false">IF(AND(ISNUMBER($C25),AN$6&lt;=$C25,AN$6+6&gt;=$C25),"♦","")</f>
        <v/>
      </c>
      <c r="AO25" s="68" t="str">
        <f aca="false">IF(AND(ISNUMBER($C25),AO$6&lt;=$C25,AO$6+6&gt;=$C25),"♦","")</f>
        <v/>
      </c>
      <c r="AP25" s="68" t="str">
        <f aca="false">IF(AND(ISNUMBER($C25),AP$6&lt;=$C25,AP$6+6&gt;=$C25),"♦","")</f>
        <v/>
      </c>
      <c r="AQ25" s="68" t="str">
        <f aca="false">IF(AND(ISNUMBER($C25),AQ$6&lt;=$C25,AQ$6+6&gt;=$C25),"♦","")</f>
        <v/>
      </c>
      <c r="AR25" s="68" t="str">
        <f aca="false">IF(AND(ISNUMBER($C25),AR$6&lt;=$C25,AR$6+6&gt;=$C25),"♦","")</f>
        <v/>
      </c>
      <c r="AS25" s="68" t="str">
        <f aca="false">IF(AND(ISNUMBER($C25),AS$6&lt;=$C25,AS$6+6&gt;=$C25),"♦","")</f>
        <v/>
      </c>
      <c r="AT25" s="68" t="str">
        <f aca="false">IF(AND(ISNUMBER($C25),AT$6&lt;=$C25,AT$6+6&gt;=$C25),"♦","")</f>
        <v/>
      </c>
      <c r="AU25" s="68" t="str">
        <f aca="false">IF(AND(ISNUMBER($C25),AU$6&lt;=$C25,AU$6+6&gt;=$C25),"♦","")</f>
        <v/>
      </c>
      <c r="AV25" s="68" t="str">
        <f aca="false">IF(AND(ISNUMBER($C25),AV$6&lt;=$C25,AV$6+6&gt;=$C25),"♦","")</f>
        <v/>
      </c>
      <c r="AW25" s="68" t="str">
        <f aca="false">IF(AND(ISNUMBER($C25),AW$6&lt;=$C25,AW$6+6&gt;=$C25),"♦","")</f>
        <v/>
      </c>
      <c r="AX25" s="68" t="str">
        <f aca="false">IF(AND(ISNUMBER($C25),AX$6&lt;=$C25,AX$6+6&gt;=$C25),"♦","")</f>
        <v/>
      </c>
      <c r="AY25" s="68" t="str">
        <f aca="false">IF(AND(ISNUMBER($C25),AY$6&lt;=$C25,AY$6+6&gt;=$C25),"♦","")</f>
        <v/>
      </c>
      <c r="AZ25" s="68" t="str">
        <f aca="false">IF(AND(ISNUMBER($C25),AZ$6&lt;=$C25,AZ$6+6&gt;=$C25),"♦","")</f>
        <v/>
      </c>
      <c r="BA25" s="68" t="str">
        <f aca="false">IF(AND(ISNUMBER($C25),BA$6&lt;=$C25,BA$6+6&gt;=$C25),"♦","")</f>
        <v/>
      </c>
      <c r="BB25" s="68" t="str">
        <f aca="false">IF(AND(ISNUMBER($C25),BB$6&lt;=$C25,BB$6+6&gt;=$C25),"♦","")</f>
        <v/>
      </c>
      <c r="BC25" s="68" t="str">
        <f aca="false">IF(AND(ISNUMBER($C25),BC$6&lt;=$C25,BC$6+6&gt;=$C25),"♦","")</f>
        <v/>
      </c>
      <c r="BD25" s="68" t="str">
        <f aca="false">IF(AND(ISNUMBER($C25),BD$6&lt;=$C25,BD$6+6&gt;=$C25),"♦","")</f>
        <v/>
      </c>
      <c r="BE25" s="68" t="str">
        <f aca="false">IF(AND(ISNUMBER($C25),BE$6&lt;=$C25,BE$6+6&gt;=$C25),"♦","")</f>
        <v/>
      </c>
      <c r="BF25" s="68" t="str">
        <f aca="false">IF(AND(ISNUMBER($C25),BF$6&lt;=$C25,BF$6+6&gt;=$C25),"♦","")</f>
        <v/>
      </c>
      <c r="BG25" s="68" t="str">
        <f aca="false">IF(AND(ISNUMBER($C25),BG$6&lt;=$C25,BG$6+6&gt;=$C25),"♦","")</f>
        <v/>
      </c>
      <c r="BH25" s="68" t="str">
        <f aca="false">IF(AND(ISNUMBER($C25),BH$6&lt;=$C25,BH$6+6&gt;=$C25),"♦","")</f>
        <v/>
      </c>
      <c r="BI25" s="68" t="str">
        <f aca="false">IF(AND(ISNUMBER($C25),BI$6&lt;=$C25,BI$6+6&gt;=$C25),"♦","")</f>
        <v/>
      </c>
      <c r="BJ25" s="68" t="str">
        <f aca="false">IF(AND(ISNUMBER($C25),BJ$6&lt;=$C25,BJ$6+6&gt;=$C25),"♦","")</f>
        <v/>
      </c>
    </row>
    <row r="26" customFormat="false" ht="15" hidden="false" customHeight="true" outlineLevel="0" collapsed="false">
      <c r="A26" s="23"/>
      <c r="B26" s="23"/>
      <c r="C26" s="66"/>
      <c r="D26" s="66"/>
      <c r="E26" s="66"/>
      <c r="F26" s="42"/>
      <c r="G26" s="67" t="str">
        <f aca="false">IF(OR(D26="",E26=""),"",NETWORKDAYS(D26,E26,Feries))</f>
        <v/>
      </c>
      <c r="H26" s="42" t="str">
        <f aca="false">IF(A26="","",IFERROR(INDEX(Lot_type,MATCH(A26,Lot_nom,0)),"Game"))</f>
        <v/>
      </c>
      <c r="I26" s="42"/>
      <c r="J26" s="68" t="str">
        <f aca="false">IF(AND(ISNUMBER($C26),J$6&lt;=$C26,J$6+6&gt;=$C26),"♦","")</f>
        <v/>
      </c>
      <c r="K26" s="68" t="str">
        <f aca="false">IF(AND(ISNUMBER($C26),K$6&lt;=$C26,K$6+6&gt;=$C26),"♦","")</f>
        <v/>
      </c>
      <c r="L26" s="68" t="str">
        <f aca="false">IF(AND(ISNUMBER($C26),L$6&lt;=$C26,L$6+6&gt;=$C26),"♦","")</f>
        <v/>
      </c>
      <c r="M26" s="68" t="str">
        <f aca="false">IF(AND(ISNUMBER($C26),M$6&lt;=$C26,M$6+6&gt;=$C26),"♦","")</f>
        <v/>
      </c>
      <c r="N26" s="68" t="str">
        <f aca="false">IF(AND(ISNUMBER($C26),N$6&lt;=$C26,N$6+6&gt;=$C26),"♦","")</f>
        <v/>
      </c>
      <c r="O26" s="68" t="str">
        <f aca="false">IF(AND(ISNUMBER($C26),O$6&lt;=$C26,O$6+6&gt;=$C26),"♦","")</f>
        <v/>
      </c>
      <c r="P26" s="68" t="str">
        <f aca="false">IF(AND(ISNUMBER($C26),P$6&lt;=$C26,P$6+6&gt;=$C26),"♦","")</f>
        <v/>
      </c>
      <c r="Q26" s="68" t="str">
        <f aca="false">IF(AND(ISNUMBER($C26),Q$6&lt;=$C26,Q$6+6&gt;=$C26),"♦","")</f>
        <v/>
      </c>
      <c r="R26" s="68" t="str">
        <f aca="false">IF(AND(ISNUMBER($C26),R$6&lt;=$C26,R$6+6&gt;=$C26),"♦","")</f>
        <v/>
      </c>
      <c r="S26" s="68" t="str">
        <f aca="false">IF(AND(ISNUMBER($C26),S$6&lt;=$C26,S$6+6&gt;=$C26),"♦","")</f>
        <v/>
      </c>
      <c r="T26" s="68" t="str">
        <f aca="false">IF(AND(ISNUMBER($C26),T$6&lt;=$C26,T$6+6&gt;=$C26),"♦","")</f>
        <v/>
      </c>
      <c r="U26" s="68" t="str">
        <f aca="false">IF(AND(ISNUMBER($C26),U$6&lt;=$C26,U$6+6&gt;=$C26),"♦","")</f>
        <v/>
      </c>
      <c r="V26" s="68" t="str">
        <f aca="false">IF(AND(ISNUMBER($C26),V$6&lt;=$C26,V$6+6&gt;=$C26),"♦","")</f>
        <v/>
      </c>
      <c r="W26" s="68" t="str">
        <f aca="false">IF(AND(ISNUMBER($C26),W$6&lt;=$C26,W$6+6&gt;=$C26),"♦","")</f>
        <v/>
      </c>
      <c r="X26" s="68" t="str">
        <f aca="false">IF(AND(ISNUMBER($C26),X$6&lt;=$C26,X$6+6&gt;=$C26),"♦","")</f>
        <v/>
      </c>
      <c r="Y26" s="68" t="str">
        <f aca="false">IF(AND(ISNUMBER($C26),Y$6&lt;=$C26,Y$6+6&gt;=$C26),"♦","")</f>
        <v/>
      </c>
      <c r="Z26" s="68" t="str">
        <f aca="false">IF(AND(ISNUMBER($C26),Z$6&lt;=$C26,Z$6+6&gt;=$C26),"♦","")</f>
        <v/>
      </c>
      <c r="AA26" s="68" t="str">
        <f aca="false">IF(AND(ISNUMBER($C26),AA$6&lt;=$C26,AA$6+6&gt;=$C26),"♦","")</f>
        <v/>
      </c>
      <c r="AB26" s="68" t="str">
        <f aca="false">IF(AND(ISNUMBER($C26),AB$6&lt;=$C26,AB$6+6&gt;=$C26),"♦","")</f>
        <v/>
      </c>
      <c r="AC26" s="68" t="str">
        <f aca="false">IF(AND(ISNUMBER($C26),AC$6&lt;=$C26,AC$6+6&gt;=$C26),"♦","")</f>
        <v/>
      </c>
      <c r="AD26" s="68" t="str">
        <f aca="false">IF(AND(ISNUMBER($C26),AD$6&lt;=$C26,AD$6+6&gt;=$C26),"♦","")</f>
        <v/>
      </c>
      <c r="AE26" s="68" t="str">
        <f aca="false">IF(AND(ISNUMBER($C26),AE$6&lt;=$C26,AE$6+6&gt;=$C26),"♦","")</f>
        <v/>
      </c>
      <c r="AF26" s="68" t="str">
        <f aca="false">IF(AND(ISNUMBER($C26),AF$6&lt;=$C26,AF$6+6&gt;=$C26),"♦","")</f>
        <v/>
      </c>
      <c r="AG26" s="68" t="str">
        <f aca="false">IF(AND(ISNUMBER($C26),AG$6&lt;=$C26,AG$6+6&gt;=$C26),"♦","")</f>
        <v/>
      </c>
      <c r="AH26" s="68" t="str">
        <f aca="false">IF(AND(ISNUMBER($C26),AH$6&lt;=$C26,AH$6+6&gt;=$C26),"♦","")</f>
        <v/>
      </c>
      <c r="AI26" s="68" t="str">
        <f aca="false">IF(AND(ISNUMBER($C26),AI$6&lt;=$C26,AI$6+6&gt;=$C26),"♦","")</f>
        <v/>
      </c>
      <c r="AJ26" s="68" t="str">
        <f aca="false">IF(AND(ISNUMBER($C26),AJ$6&lt;=$C26,AJ$6+6&gt;=$C26),"♦","")</f>
        <v/>
      </c>
      <c r="AK26" s="68" t="str">
        <f aca="false">IF(AND(ISNUMBER($C26),AK$6&lt;=$C26,AK$6+6&gt;=$C26),"♦","")</f>
        <v/>
      </c>
      <c r="AL26" s="68" t="str">
        <f aca="false">IF(AND(ISNUMBER($C26),AL$6&lt;=$C26,AL$6+6&gt;=$C26),"♦","")</f>
        <v/>
      </c>
      <c r="AM26" s="68" t="str">
        <f aca="false">IF(AND(ISNUMBER($C26),AM$6&lt;=$C26,AM$6+6&gt;=$C26),"♦","")</f>
        <v/>
      </c>
      <c r="AN26" s="68" t="str">
        <f aca="false">IF(AND(ISNUMBER($C26),AN$6&lt;=$C26,AN$6+6&gt;=$C26),"♦","")</f>
        <v/>
      </c>
      <c r="AO26" s="68" t="str">
        <f aca="false">IF(AND(ISNUMBER($C26),AO$6&lt;=$C26,AO$6+6&gt;=$C26),"♦","")</f>
        <v/>
      </c>
      <c r="AP26" s="68" t="str">
        <f aca="false">IF(AND(ISNUMBER($C26),AP$6&lt;=$C26,AP$6+6&gt;=$C26),"♦","")</f>
        <v/>
      </c>
      <c r="AQ26" s="68" t="str">
        <f aca="false">IF(AND(ISNUMBER($C26),AQ$6&lt;=$C26,AQ$6+6&gt;=$C26),"♦","")</f>
        <v/>
      </c>
      <c r="AR26" s="68" t="str">
        <f aca="false">IF(AND(ISNUMBER($C26),AR$6&lt;=$C26,AR$6+6&gt;=$C26),"♦","")</f>
        <v/>
      </c>
      <c r="AS26" s="68" t="str">
        <f aca="false">IF(AND(ISNUMBER($C26),AS$6&lt;=$C26,AS$6+6&gt;=$C26),"♦","")</f>
        <v/>
      </c>
      <c r="AT26" s="68" t="str">
        <f aca="false">IF(AND(ISNUMBER($C26),AT$6&lt;=$C26,AT$6+6&gt;=$C26),"♦","")</f>
        <v/>
      </c>
      <c r="AU26" s="68" t="str">
        <f aca="false">IF(AND(ISNUMBER($C26),AU$6&lt;=$C26,AU$6+6&gt;=$C26),"♦","")</f>
        <v/>
      </c>
      <c r="AV26" s="68" t="str">
        <f aca="false">IF(AND(ISNUMBER($C26),AV$6&lt;=$C26,AV$6+6&gt;=$C26),"♦","")</f>
        <v/>
      </c>
      <c r="AW26" s="68" t="str">
        <f aca="false">IF(AND(ISNUMBER($C26),AW$6&lt;=$C26,AW$6+6&gt;=$C26),"♦","")</f>
        <v/>
      </c>
      <c r="AX26" s="68" t="str">
        <f aca="false">IF(AND(ISNUMBER($C26),AX$6&lt;=$C26,AX$6+6&gt;=$C26),"♦","")</f>
        <v/>
      </c>
      <c r="AY26" s="68" t="str">
        <f aca="false">IF(AND(ISNUMBER($C26),AY$6&lt;=$C26,AY$6+6&gt;=$C26),"♦","")</f>
        <v/>
      </c>
      <c r="AZ26" s="68" t="str">
        <f aca="false">IF(AND(ISNUMBER($C26),AZ$6&lt;=$C26,AZ$6+6&gt;=$C26),"♦","")</f>
        <v/>
      </c>
      <c r="BA26" s="68" t="str">
        <f aca="false">IF(AND(ISNUMBER($C26),BA$6&lt;=$C26,BA$6+6&gt;=$C26),"♦","")</f>
        <v/>
      </c>
      <c r="BB26" s="68" t="str">
        <f aca="false">IF(AND(ISNUMBER($C26),BB$6&lt;=$C26,BB$6+6&gt;=$C26),"♦","")</f>
        <v/>
      </c>
      <c r="BC26" s="68" t="str">
        <f aca="false">IF(AND(ISNUMBER($C26),BC$6&lt;=$C26,BC$6+6&gt;=$C26),"♦","")</f>
        <v/>
      </c>
      <c r="BD26" s="68" t="str">
        <f aca="false">IF(AND(ISNUMBER($C26),BD$6&lt;=$C26,BD$6+6&gt;=$C26),"♦","")</f>
        <v/>
      </c>
      <c r="BE26" s="68" t="str">
        <f aca="false">IF(AND(ISNUMBER($C26),BE$6&lt;=$C26,BE$6+6&gt;=$C26),"♦","")</f>
        <v/>
      </c>
      <c r="BF26" s="68" t="str">
        <f aca="false">IF(AND(ISNUMBER($C26),BF$6&lt;=$C26,BF$6+6&gt;=$C26),"♦","")</f>
        <v/>
      </c>
      <c r="BG26" s="68" t="str">
        <f aca="false">IF(AND(ISNUMBER($C26),BG$6&lt;=$C26,BG$6+6&gt;=$C26),"♦","")</f>
        <v/>
      </c>
      <c r="BH26" s="68" t="str">
        <f aca="false">IF(AND(ISNUMBER($C26),BH$6&lt;=$C26,BH$6+6&gt;=$C26),"♦","")</f>
        <v/>
      </c>
      <c r="BI26" s="68" t="str">
        <f aca="false">IF(AND(ISNUMBER($C26),BI$6&lt;=$C26,BI$6+6&gt;=$C26),"♦","")</f>
        <v/>
      </c>
      <c r="BJ26" s="68" t="str">
        <f aca="false">IF(AND(ISNUMBER($C26),BJ$6&lt;=$C26,BJ$6+6&gt;=$C26),"♦","")</f>
        <v/>
      </c>
    </row>
    <row r="28" customFormat="false" ht="15" hidden="false" customHeight="true" outlineLevel="0" collapsed="false">
      <c r="A28" s="21" t="s">
        <v>350</v>
      </c>
    </row>
    <row r="29" customFormat="false" ht="15" hidden="false" customHeight="true" outlineLevel="0" collapsed="false">
      <c r="B29" s="42" t="s">
        <v>351</v>
      </c>
      <c r="F29" s="46" t="n">
        <f aca="false">SUM(F7:F15)</f>
        <v>174279</v>
      </c>
    </row>
    <row r="30" customFormat="false" ht="15" hidden="false" customHeight="true" outlineLevel="0" collapsed="false">
      <c r="B30" s="42" t="s">
        <v>352</v>
      </c>
      <c r="F30" s="46" t="n">
        <f aca="false">WBS!H59</f>
        <v>174279</v>
      </c>
    </row>
    <row r="31" customFormat="false" ht="15" hidden="false" customHeight="true" outlineLevel="0" collapsed="false">
      <c r="B31" s="42" t="s">
        <v>353</v>
      </c>
      <c r="F31" s="46" t="n">
        <f aca="false">F30-F29</f>
        <v>0</v>
      </c>
      <c r="G31" s="34" t="s">
        <v>354</v>
      </c>
    </row>
    <row r="32" customFormat="false" ht="15" hidden="false" customHeight="true" outlineLevel="0" collapsed="false">
      <c r="B32" s="42" t="s">
        <v>355</v>
      </c>
      <c r="F32" s="46" t="n">
        <f aca="false">WBS!H60</f>
        <v>17427.9</v>
      </c>
    </row>
    <row r="33" customFormat="false" ht="15" hidden="false" customHeight="true" outlineLevel="0" collapsed="false">
      <c r="B33" s="51" t="s">
        <v>356</v>
      </c>
      <c r="F33" s="53" t="n">
        <f aca="false">F29+F32</f>
        <v>191706.9</v>
      </c>
    </row>
    <row r="34" customFormat="false" ht="15" hidden="false" customHeight="true" outlineLevel="0" collapsed="false">
      <c r="B34" s="34" t="s">
        <v>357</v>
      </c>
    </row>
  </sheetData>
  <mergeCells count="1">
    <mergeCell ref="A16:I16"/>
  </mergeCells>
  <conditionalFormatting sqref="J7:BJ26">
    <cfRule type="expression" priority="2" aboveAverage="0" equalAverage="0" bottom="0" percent="0" rank="0" text="" dxfId="3">
      <formula>AND(ISNUMBER($C7),J$6&lt;=$C7,J$6+6&gt;=$C7)</formula>
    </cfRule>
    <cfRule type="expression" priority="3" aboveAverage="0" equalAverage="0" bottom="0" percent="0" rank="0" text="" dxfId="4">
      <formula>AND(ISNUMBER($D7),ISNUMBER($E7),J$6+6&gt;=$D7,J$6&lt;=$E7,$H7="Marketing")</formula>
    </cfRule>
    <cfRule type="expression" priority="4" aboveAverage="0" equalAverage="0" bottom="0" percent="0" rank="0" text="" dxfId="5">
      <formula>AND(ISNUMBER($D7),ISNUMBER($E7),J$6+6&gt;=$D7,J$6&lt;=$E7,$H7="Coordination")</formula>
    </cfRule>
    <cfRule type="expression" priority="5" aboveAverage="0" equalAverage="0" bottom="0" percent="0" rank="0" text="" dxfId="6">
      <formula>AND(ISNUMBER($D7),ISNUMBER($E7),J$6+6&gt;=$D7,J$6&lt;=$E7)</formula>
    </cfRule>
    <cfRule type="expression" priority="6" aboveAverage="0" equalAverage="0" bottom="0" percent="0" rank="0" text="" dxfId="7">
      <formula>AND(J$6&lt;=TODAY(),J$6+6&gt;=TODAY())</formula>
    </cfRule>
  </conditionalFormatting>
  <conditionalFormatting sqref="E7:E26">
    <cfRule type="expression" priority="7" aboveAverage="0" equalAverage="0" bottom="0" percent="0" rank="0" text="" dxfId="0">
      <formula>AND(ISNUMBER(D7),ISNUMBER(E7),E7&lt;D7)</formula>
    </cfRule>
  </conditionalFormatting>
  <conditionalFormatting sqref="F7:F15">
    <cfRule type="expression" priority="8" aboveAverage="0" equalAverage="0" bottom="0" percent="0" rank="0" text="" dxfId="1">
      <formula>AND(N(F7)&gt;0,N(G7)=0)</formula>
    </cfRule>
  </conditionalFormatting>
  <conditionalFormatting sqref="F31">
    <cfRule type="expression" priority="9" aboveAverage="0" equalAverage="0" bottom="0" percent="0" rank="0" text="" dxfId="0">
      <formula>ABS(F31)&gt;1</formula>
    </cfRule>
  </conditionalFormatting>
  <conditionalFormatting sqref="K5:BJ26">
    <cfRule type="expression" priority="10" aboveAverage="0" equalAverage="0" bottom="0" percent="0" rank="0" text="" dxfId="8">
      <formula>AND(ISNUMBER(K$6),MONTH(K$6)&lt;&gt;MONTH(J$6))</formula>
    </cfRule>
  </conditionalFormatting>
  <dataValidations count="2">
    <dataValidation allowBlank="true" errorStyle="stop" operator="greaterThan" showDropDown="false" showErrorMessage="false" showInputMessage="false" sqref="D7:E15 C17:E26" type="date">
      <formula1>1</formula1>
      <formula2>0</formula2>
    </dataValidation>
    <dataValidation allowBlank="true" errorStyle="stop" operator="between" showDropDown="false" showErrorMessage="false" showInputMessage="false" sqref="A17:A26" type="list">
      <formula1>Lot_nom</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Q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1" outlineLevelCol="0"/>
  <cols>
    <col collapsed="false" customWidth="true" hidden="false" outlineLevel="0" max="1" min="1" style="1" width="34"/>
    <col collapsed="false" customWidth="true" hidden="false" outlineLevel="0" max="2" min="2" style="1" width="22"/>
    <col collapsed="false" customWidth="true" hidden="false" outlineLevel="0" max="3" min="3" style="1" width="12"/>
    <col collapsed="false" customWidth="true" hidden="false" outlineLevel="0" max="16" min="4" style="1" width="10"/>
    <col collapsed="false" customWidth="true" hidden="false" outlineLevel="0" max="17" min="17" style="1" width="12"/>
  </cols>
  <sheetData>
    <row r="1" customFormat="false" ht="17.25" hidden="false" customHeight="true" outlineLevel="0" collapsed="false">
      <c r="A1" s="17" t="s">
        <v>358</v>
      </c>
    </row>
    <row r="2" customFormat="false" ht="21" hidden="false" customHeight="true" outlineLevel="0" collapsed="false">
      <c r="A2" s="18" t="s">
        <v>359</v>
      </c>
      <c r="B2" s="18"/>
      <c r="C2" s="18"/>
      <c r="D2" s="18"/>
      <c r="E2" s="18"/>
      <c r="F2" s="18"/>
      <c r="G2" s="18"/>
      <c r="H2" s="18"/>
      <c r="I2" s="18"/>
      <c r="J2" s="18"/>
      <c r="K2" s="18"/>
      <c r="L2" s="18"/>
      <c r="M2" s="18"/>
      <c r="N2" s="18"/>
      <c r="O2" s="18"/>
      <c r="P2" s="18"/>
      <c r="Q2" s="18"/>
    </row>
    <row r="3" customFormat="false" ht="18" hidden="false" customHeight="true" outlineLevel="0" collapsed="false">
      <c r="A3" s="19" t="s">
        <v>80</v>
      </c>
      <c r="B3" s="20" t="s">
        <v>360</v>
      </c>
      <c r="C3" s="37" t="s">
        <v>361</v>
      </c>
      <c r="D3" s="38" t="s">
        <v>362</v>
      </c>
    </row>
    <row r="4" customFormat="false" ht="15" hidden="false" customHeight="true" outlineLevel="0" collapsed="false">
      <c r="A4" s="22" t="s">
        <v>363</v>
      </c>
      <c r="B4" s="22"/>
      <c r="C4" s="22"/>
      <c r="D4" s="70" t="n">
        <f aca="false">DATE(YEAR(Debut),MONTH(Debut),1)</f>
        <v>46327</v>
      </c>
      <c r="E4" s="70" t="n">
        <f aca="false">EDATE(D4,1)</f>
        <v>46357</v>
      </c>
      <c r="F4" s="70" t="n">
        <f aca="false">EDATE(E4,1)</f>
        <v>46388</v>
      </c>
      <c r="G4" s="70" t="n">
        <f aca="false">EDATE(F4,1)</f>
        <v>46419</v>
      </c>
      <c r="H4" s="70" t="n">
        <f aca="false">EDATE(G4,1)</f>
        <v>46447</v>
      </c>
      <c r="I4" s="70" t="n">
        <f aca="false">EDATE(H4,1)</f>
        <v>46478</v>
      </c>
      <c r="J4" s="70" t="n">
        <f aca="false">EDATE(I4,1)</f>
        <v>46508</v>
      </c>
      <c r="K4" s="70" t="n">
        <f aca="false">EDATE(J4,1)</f>
        <v>46539</v>
      </c>
      <c r="L4" s="70" t="n">
        <f aca="false">EDATE(K4,1)</f>
        <v>46569</v>
      </c>
      <c r="M4" s="70" t="n">
        <f aca="false">EDATE(L4,1)</f>
        <v>46600</v>
      </c>
      <c r="N4" s="70" t="n">
        <f aca="false">EDATE(M4,1)</f>
        <v>46631</v>
      </c>
      <c r="O4" s="70" t="n">
        <f aca="false">EDATE(N4,1)</f>
        <v>46661</v>
      </c>
      <c r="P4" s="22" t="s">
        <v>364</v>
      </c>
    </row>
    <row r="5" customFormat="false" ht="15" hidden="false" customHeight="true" outlineLevel="0" collapsed="false">
      <c r="A5" s="42" t="s">
        <v>365</v>
      </c>
      <c r="D5" s="67" t="n">
        <f aca="false">NETWORKDAYS(D4,EOMONTH(D4,0),Feries)</f>
        <v>20</v>
      </c>
      <c r="E5" s="67" t="n">
        <f aca="false">NETWORKDAYS(E4,EOMONTH(E4,0),Feries)</f>
        <v>18</v>
      </c>
      <c r="F5" s="67" t="n">
        <f aca="false">NETWORKDAYS(F4,EOMONTH(F4,0),Feries)</f>
        <v>20</v>
      </c>
      <c r="G5" s="67" t="n">
        <f aca="false">NETWORKDAYS(G4,EOMONTH(G4,0),Feries)</f>
        <v>20</v>
      </c>
      <c r="H5" s="67" t="n">
        <f aca="false">NETWORKDAYS(H4,EOMONTH(H4,0),Feries)</f>
        <v>22</v>
      </c>
      <c r="I5" s="67" t="n">
        <f aca="false">NETWORKDAYS(I4,EOMONTH(I4,0),Feries)</f>
        <v>22</v>
      </c>
      <c r="J5" s="67" t="n">
        <f aca="false">NETWORKDAYS(J4,EOMONTH(J4,0),Feries)</f>
        <v>19</v>
      </c>
      <c r="K5" s="67" t="n">
        <f aca="false">NETWORKDAYS(K4,EOMONTH(K4,0),Feries)</f>
        <v>22</v>
      </c>
      <c r="L5" s="67" t="n">
        <f aca="false">NETWORKDAYS(L4,EOMONTH(L4,0),Feries)</f>
        <v>21</v>
      </c>
      <c r="M5" s="67" t="n">
        <f aca="false">NETWORKDAYS(M4,EOMONTH(M4,0),Feries)</f>
        <v>12</v>
      </c>
      <c r="N5" s="67" t="n">
        <f aca="false">NETWORKDAYS(N4,EOMONTH(N4,0),Feries)</f>
        <v>22</v>
      </c>
      <c r="O5" s="67" t="n">
        <f aca="false">NETWORKDAYS(O4,EOMONTH(O4,0),Feries)</f>
        <v>21</v>
      </c>
      <c r="P5" s="71" t="n">
        <f aca="false">SUM(D5:O5)</f>
        <v>239</v>
      </c>
    </row>
    <row r="7" customFormat="false" ht="15" hidden="false" customHeight="true" outlineLevel="0" collapsed="false">
      <c r="A7" s="21" t="s">
        <v>366</v>
      </c>
    </row>
    <row r="8" customFormat="false" ht="15" hidden="true" customHeight="true" outlineLevel="1" collapsed="false">
      <c r="A8" s="22" t="s">
        <v>83</v>
      </c>
      <c r="B8" s="22" t="s">
        <v>84</v>
      </c>
      <c r="C8" s="22" t="s">
        <v>367</v>
      </c>
      <c r="D8" s="70" t="n">
        <f aca="false">D$4</f>
        <v>46327</v>
      </c>
      <c r="E8" s="70" t="n">
        <f aca="false">E$4</f>
        <v>46357</v>
      </c>
      <c r="F8" s="70" t="n">
        <f aca="false">F$4</f>
        <v>46388</v>
      </c>
      <c r="G8" s="70" t="n">
        <f aca="false">G$4</f>
        <v>46419</v>
      </c>
      <c r="H8" s="70" t="n">
        <f aca="false">H$4</f>
        <v>46447</v>
      </c>
      <c r="I8" s="70" t="n">
        <f aca="false">I$4</f>
        <v>46478</v>
      </c>
      <c r="J8" s="70" t="n">
        <f aca="false">J$4</f>
        <v>46508</v>
      </c>
      <c r="K8" s="70" t="n">
        <f aca="false">K$4</f>
        <v>46539</v>
      </c>
      <c r="L8" s="70" t="n">
        <f aca="false">L$4</f>
        <v>46569</v>
      </c>
      <c r="M8" s="70" t="n">
        <f aca="false">M$4</f>
        <v>46600</v>
      </c>
      <c r="N8" s="70" t="n">
        <f aca="false">N$4</f>
        <v>46631</v>
      </c>
      <c r="O8" s="70" t="n">
        <f aca="false">O$4</f>
        <v>46661</v>
      </c>
      <c r="P8" s="22" t="s">
        <v>364</v>
      </c>
      <c r="Q8" s="22" t="s">
        <v>368</v>
      </c>
    </row>
    <row r="9" customFormat="false" ht="15" hidden="true" customHeight="true" outlineLevel="1" collapsed="false">
      <c r="A9" s="64" t="str">
        <f aca="false">IF(Settings!A6="","",Settings!A6)</f>
        <v>Léa</v>
      </c>
      <c r="B9" s="42" t="str">
        <f aca="false">IF(A9="","",Settings!B6)</f>
        <v>Programming</v>
      </c>
      <c r="C9" s="72" t="n">
        <f aca="false">IF(A9="","",Settings!D6)</f>
        <v>1</v>
      </c>
      <c r="D9" s="73" t="n">
        <f aca="false">IF($A9="","",SUMPRODUCT(SUMIFS(WBS!$G$6:$G$55,WBS!$D$6:$D$55,$A9,WBS!$B$6:$B$55,$A$59:$A$66),D$59:D$66))</f>
        <v>15.125</v>
      </c>
      <c r="E9" s="73" t="n">
        <f aca="false">IF($A9="","",SUMPRODUCT(SUMIFS(WBS!$G$6:$G$55,WBS!$D$6:$D$55,$A9,WBS!$B$6:$B$55,$A$59:$A$66),E$59:E$66))</f>
        <v>13.6125</v>
      </c>
      <c r="F9" s="73" t="n">
        <f aca="false">IF($A9="","",SUMPRODUCT(SUMIFS(WBS!$G$6:$G$55,WBS!$D$6:$D$55,$A9,WBS!$B$6:$B$55,$A$59:$A$66),F$59:F$66))</f>
        <v>14.428171641791</v>
      </c>
      <c r="G9" s="73" t="n">
        <f aca="false">IF($A9="","",SUMPRODUCT(SUMIFS(WBS!$G$6:$G$55,WBS!$D$6:$D$55,$A9,WBS!$B$6:$B$55,$A$59:$A$66),G$59:G$66))</f>
        <v>13.7313432835821</v>
      </c>
      <c r="H9" s="73" t="n">
        <f aca="false">IF($A9="","",SUMPRODUCT(SUMIFS(WBS!$G$6:$G$55,WBS!$D$6:$D$55,$A9,WBS!$B$6:$B$55,$A$59:$A$66),H$59:H$66))</f>
        <v>15.1044776119403</v>
      </c>
      <c r="I9" s="73" t="n">
        <f aca="false">IF($A9="","",SUMPRODUCT(SUMIFS(WBS!$G$6:$G$55,WBS!$D$6:$D$55,$A9,WBS!$B$6:$B$55,$A$59:$A$66),I$59:I$66))</f>
        <v>15.1044776119403</v>
      </c>
      <c r="J9" s="73" t="n">
        <f aca="false">IF($A9="","",SUMPRODUCT(SUMIFS(WBS!$G$6:$G$55,WBS!$D$6:$D$55,$A9,WBS!$B$6:$B$55,$A$59:$A$66),J$59:J$66))</f>
        <v>16.4733475479744</v>
      </c>
      <c r="K9" s="73" t="n">
        <f aca="false">IF($A9="","",SUMPRODUCT(SUMIFS(WBS!$G$6:$G$55,WBS!$D$6:$D$55,$A9,WBS!$B$6:$B$55,$A$59:$A$66),K$59:K$66))</f>
        <v>23.6759061833689</v>
      </c>
      <c r="L9" s="73" t="n">
        <f aca="false">IF($A9="","",SUMPRODUCT(SUMIFS(WBS!$G$6:$G$55,WBS!$D$6:$D$55,$A9,WBS!$B$6:$B$55,$A$59:$A$66),L$59:L$66))</f>
        <v>14.4056456846204</v>
      </c>
      <c r="M9" s="73" t="n">
        <f aca="false">IF($A9="","",SUMPRODUCT(SUMIFS(WBS!$G$6:$G$55,WBS!$D$6:$D$55,$A9,WBS!$B$6:$B$55,$A$59:$A$66),M$59:M$66))</f>
        <v>8.16521739130435</v>
      </c>
      <c r="N9" s="73" t="n">
        <f aca="false">IF($A9="","",SUMPRODUCT(SUMIFS(WBS!$G$6:$G$55,WBS!$D$6:$D$55,$A9,WBS!$B$6:$B$55,$A$59:$A$66),N$59:N$66))</f>
        <v>14.9695652173913</v>
      </c>
      <c r="O9" s="73" t="n">
        <f aca="false">IF($A9="","",SUMPRODUCT(SUMIFS(WBS!$G$6:$G$55,WBS!$D$6:$D$55,$A9,WBS!$B$6:$B$55,$A$59:$A$66),O$59:O$66))</f>
        <v>6.80434782608696</v>
      </c>
      <c r="P9" s="74" t="n">
        <f aca="false">IF(A9="","",SUM(D9:O9))</f>
        <v>171.6</v>
      </c>
      <c r="Q9" s="47" t="n">
        <f aca="false">IF(A9="","",SUMIFS(WBS!$G$6:$G$55,WBS!$D$6:$D$55,A9))</f>
        <v>171.6</v>
      </c>
    </row>
    <row r="10" customFormat="false" ht="15" hidden="true" customHeight="true" outlineLevel="1" collapsed="false">
      <c r="A10" s="64" t="str">
        <f aca="false">IF(Settings!A7="","",Settings!A7)</f>
        <v>Sam</v>
      </c>
      <c r="B10" s="42" t="str">
        <f aca="false">IF(A10="","",Settings!B7)</f>
        <v>Art</v>
      </c>
      <c r="C10" s="72" t="n">
        <f aca="false">IF(A10="","",Settings!D7)</f>
        <v>1</v>
      </c>
      <c r="D10" s="73" t="n">
        <f aca="false">IF($A10="","",SUMPRODUCT(SUMIFS(WBS!$G$6:$G$55,WBS!$D$6:$D$55,$A10,WBS!$B$6:$B$55,$A$59:$A$66),D$59:D$66))</f>
        <v>13.5087719298246</v>
      </c>
      <c r="E10" s="73" t="n">
        <f aca="false">IF($A10="","",SUMPRODUCT(SUMIFS(WBS!$G$6:$G$55,WBS!$D$6:$D$55,$A10,WBS!$B$6:$B$55,$A$59:$A$66),E$59:E$66))</f>
        <v>12.1578947368421</v>
      </c>
      <c r="F10" s="73" t="n">
        <f aca="false">IF($A10="","",SUMPRODUCT(SUMIFS(WBS!$G$6:$G$55,WBS!$D$6:$D$55,$A10,WBS!$B$6:$B$55,$A$59:$A$66),F$59:F$66))</f>
        <v>15.0820033337804</v>
      </c>
      <c r="G10" s="73" t="n">
        <f aca="false">IF($A10="","",SUMPRODUCT(SUMIFS(WBS!$G$6:$G$55,WBS!$D$6:$D$55,$A10,WBS!$B$6:$B$55,$A$59:$A$66),G$59:G$66))</f>
        <v>16.6552347377362</v>
      </c>
      <c r="H10" s="73" t="n">
        <f aca="false">IF($A10="","",SUMPRODUCT(SUMIFS(WBS!$G$6:$G$55,WBS!$D$6:$D$55,$A10,WBS!$B$6:$B$55,$A$59:$A$66),H$59:H$66))</f>
        <v>15.9061240651684</v>
      </c>
      <c r="I10" s="73" t="n">
        <f aca="false">IF($A10="","",SUMPRODUCT(SUMIFS(WBS!$G$6:$G$55,WBS!$D$6:$D$55,$A10,WBS!$B$6:$B$55,$A$59:$A$66),I$59:I$66))</f>
        <v>13.4914899188269</v>
      </c>
      <c r="J10" s="73" t="n">
        <f aca="false">IF($A10="","",SUMPRODUCT(SUMIFS(WBS!$G$6:$G$55,WBS!$D$6:$D$55,$A10,WBS!$B$6:$B$55,$A$59:$A$66),J$59:J$66))</f>
        <v>12.5088841506752</v>
      </c>
      <c r="K10" s="73" t="n">
        <f aca="false">IF($A10="","",SUMPRODUCT(SUMIFS(WBS!$G$6:$G$55,WBS!$D$6:$D$55,$A10,WBS!$B$6:$B$55,$A$59:$A$66),K$59:K$66))</f>
        <v>15.6343470616841</v>
      </c>
      <c r="L10" s="73" t="n">
        <f aca="false">IF($A10="","",SUMPRODUCT(SUMIFS(WBS!$G$6:$G$55,WBS!$D$6:$D$55,$A10,WBS!$B$6:$B$55,$A$59:$A$66),L$59:L$66))</f>
        <v>12.7997199357902</v>
      </c>
      <c r="M10" s="73" t="n">
        <f aca="false">IF($A10="","",SUMPRODUCT(SUMIFS(WBS!$G$6:$G$55,WBS!$D$6:$D$55,$A10,WBS!$B$6:$B$55,$A$59:$A$66),M$59:M$66))</f>
        <v>6.88787185354691</v>
      </c>
      <c r="N10" s="73" t="n">
        <f aca="false">IF($A10="","",SUMPRODUCT(SUMIFS(WBS!$G$6:$G$55,WBS!$D$6:$D$55,$A10,WBS!$B$6:$B$55,$A$59:$A$66),N$59:N$66))</f>
        <v>12.627765064836</v>
      </c>
      <c r="O10" s="73" t="n">
        <f aca="false">IF($A10="","",SUMPRODUCT(SUMIFS(WBS!$G$6:$G$55,WBS!$D$6:$D$55,$A10,WBS!$B$6:$B$55,$A$59:$A$66),O$59:O$66))</f>
        <v>5.73989321128909</v>
      </c>
      <c r="P10" s="74" t="n">
        <f aca="false">IF(A10="","",SUM(D10:O10))</f>
        <v>153</v>
      </c>
      <c r="Q10" s="47" t="n">
        <f aca="false">IF(A10="","",SUMIFS(WBS!$G$6:$G$55,WBS!$D$6:$D$55,A10))</f>
        <v>153</v>
      </c>
    </row>
    <row r="11" customFormat="false" ht="15" hidden="true" customHeight="true" outlineLevel="1" collapsed="false">
      <c r="A11" s="64" t="str">
        <f aca="false">IF(Settings!A8="","",Settings!A8)</f>
        <v>Noé</v>
      </c>
      <c r="B11" s="42" t="str">
        <f aca="false">IF(A11="","",Settings!B8)</f>
        <v>Design and production</v>
      </c>
      <c r="C11" s="72" t="n">
        <f aca="false">IF(A11="","",Settings!D8)</f>
        <v>0.8</v>
      </c>
      <c r="D11" s="73" t="n">
        <f aca="false">IF($A11="","",SUMPRODUCT(SUMIFS(WBS!$G$6:$G$55,WBS!$D$6:$D$55,$A11,WBS!$B$6:$B$55,$A$59:$A$66),D$59:D$66))</f>
        <v>12.6535087719298</v>
      </c>
      <c r="E11" s="73" t="n">
        <f aca="false">IF($A11="","",SUMPRODUCT(SUMIFS(WBS!$G$6:$G$55,WBS!$D$6:$D$55,$A11,WBS!$B$6:$B$55,$A$59:$A$66),E$59:E$66))</f>
        <v>11.3881578947368</v>
      </c>
      <c r="F11" s="73" t="n">
        <f aca="false">IF($A11="","",SUMPRODUCT(SUMIFS(WBS!$G$6:$G$55,WBS!$D$6:$D$55,$A11,WBS!$B$6:$B$55,$A$59:$A$66),F$59:F$66))</f>
        <v>12.0885742979582</v>
      </c>
      <c r="G11" s="73" t="n">
        <f aca="false">IF($A11="","",SUMPRODUCT(SUMIFS(WBS!$G$6:$G$55,WBS!$D$6:$D$55,$A11,WBS!$B$6:$B$55,$A$59:$A$66),G$59:G$66))</f>
        <v>11.5236398239866</v>
      </c>
      <c r="H11" s="73" t="n">
        <f aca="false">IF($A11="","",SUMPRODUCT(SUMIFS(WBS!$G$6:$G$55,WBS!$D$6:$D$55,$A11,WBS!$B$6:$B$55,$A$59:$A$66),H$59:H$66))</f>
        <v>11.8711257576048</v>
      </c>
      <c r="I11" s="73" t="n">
        <f aca="false">IF($A11="","",SUMPRODUCT(SUMIFS(WBS!$G$6:$G$55,WBS!$D$6:$D$55,$A11,WBS!$B$6:$B$55,$A$59:$A$66),I$59:I$66))</f>
        <v>11.0662477088243</v>
      </c>
      <c r="J11" s="73" t="n">
        <f aca="false">IF($A11="","",SUMPRODUCT(SUMIFS(WBS!$G$6:$G$55,WBS!$D$6:$D$55,$A11,WBS!$B$6:$B$55,$A$59:$A$66),J$59:J$66))</f>
        <v>12.7000710732054</v>
      </c>
      <c r="K11" s="73" t="n">
        <f aca="false">IF($A11="","",SUMPRODUCT(SUMIFS(WBS!$G$6:$G$55,WBS!$D$6:$D$55,$A11,WBS!$B$6:$B$55,$A$59:$A$66),K$59:K$66))</f>
        <v>18.9233905659672</v>
      </c>
      <c r="L11" s="73" t="n">
        <f aca="false">IF($A11="","",SUMPRODUCT(SUMIFS(WBS!$G$6:$G$55,WBS!$D$6:$D$55,$A11,WBS!$B$6:$B$55,$A$59:$A$66),L$59:L$66))</f>
        <v>10.4801735031934</v>
      </c>
      <c r="M11" s="73" t="n">
        <f aca="false">IF($A11="","",SUMPRODUCT(SUMIFS(WBS!$G$6:$G$55,WBS!$D$6:$D$55,$A11,WBS!$B$6:$B$55,$A$59:$A$66),M$59:M$66))</f>
        <v>5.53775743707094</v>
      </c>
      <c r="N11" s="73" t="n">
        <f aca="false">IF($A11="","",SUMPRODUCT(SUMIFS(WBS!$G$6:$G$55,WBS!$D$6:$D$55,$A11,WBS!$B$6:$B$55,$A$59:$A$66),N$59:N$66))</f>
        <v>10.1525553012967</v>
      </c>
      <c r="O11" s="73" t="n">
        <f aca="false">IF($A11="","",SUMPRODUCT(SUMIFS(WBS!$G$6:$G$55,WBS!$D$6:$D$55,$A11,WBS!$B$6:$B$55,$A$59:$A$66),O$59:O$66))</f>
        <v>4.61479786422578</v>
      </c>
      <c r="P11" s="74" t="n">
        <f aca="false">IF(A11="","",SUM(D11:O11))</f>
        <v>133</v>
      </c>
      <c r="Q11" s="47" t="n">
        <f aca="false">IF(A11="","",SUMIFS(WBS!$G$6:$G$55,WBS!$D$6:$D$55,A11))</f>
        <v>133</v>
      </c>
    </row>
    <row r="12" customFormat="false" ht="15" hidden="true" customHeight="true" outlineLevel="1" collapsed="false">
      <c r="A12" s="64" t="str">
        <f aca="false">IF(Settings!A9="","",Settings!A9)</f>
        <v/>
      </c>
      <c r="B12" s="42" t="str">
        <f aca="false">IF(A12="","",Settings!B9)</f>
        <v/>
      </c>
      <c r="C12" s="72" t="str">
        <f aca="false">IF(A12="","",Settings!D9)</f>
        <v/>
      </c>
      <c r="D12" s="73" t="str">
        <f aca="false">IF($A12="","",SUMPRODUCT(SUMIFS(WBS!$G$6:$G$55,WBS!$D$6:$D$55,$A12,WBS!$B$6:$B$55,$A$59:$A$66),D$59:D$66))</f>
        <v/>
      </c>
      <c r="E12" s="73" t="str">
        <f aca="false">IF($A12="","",SUMPRODUCT(SUMIFS(WBS!$G$6:$G$55,WBS!$D$6:$D$55,$A12,WBS!$B$6:$B$55,$A$59:$A$66),E$59:E$66))</f>
        <v/>
      </c>
      <c r="F12" s="73" t="str">
        <f aca="false">IF($A12="","",SUMPRODUCT(SUMIFS(WBS!$G$6:$G$55,WBS!$D$6:$D$55,$A12,WBS!$B$6:$B$55,$A$59:$A$66),F$59:F$66))</f>
        <v/>
      </c>
      <c r="G12" s="73" t="str">
        <f aca="false">IF($A12="","",SUMPRODUCT(SUMIFS(WBS!$G$6:$G$55,WBS!$D$6:$D$55,$A12,WBS!$B$6:$B$55,$A$59:$A$66),G$59:G$66))</f>
        <v/>
      </c>
      <c r="H12" s="73" t="str">
        <f aca="false">IF($A12="","",SUMPRODUCT(SUMIFS(WBS!$G$6:$G$55,WBS!$D$6:$D$55,$A12,WBS!$B$6:$B$55,$A$59:$A$66),H$59:H$66))</f>
        <v/>
      </c>
      <c r="I12" s="73" t="str">
        <f aca="false">IF($A12="","",SUMPRODUCT(SUMIFS(WBS!$G$6:$G$55,WBS!$D$6:$D$55,$A12,WBS!$B$6:$B$55,$A$59:$A$66),I$59:I$66))</f>
        <v/>
      </c>
      <c r="J12" s="73" t="str">
        <f aca="false">IF($A12="","",SUMPRODUCT(SUMIFS(WBS!$G$6:$G$55,WBS!$D$6:$D$55,$A12,WBS!$B$6:$B$55,$A$59:$A$66),J$59:J$66))</f>
        <v/>
      </c>
      <c r="K12" s="73" t="str">
        <f aca="false">IF($A12="","",SUMPRODUCT(SUMIFS(WBS!$G$6:$G$55,WBS!$D$6:$D$55,$A12,WBS!$B$6:$B$55,$A$59:$A$66),K$59:K$66))</f>
        <v/>
      </c>
      <c r="L12" s="73" t="str">
        <f aca="false">IF($A12="","",SUMPRODUCT(SUMIFS(WBS!$G$6:$G$55,WBS!$D$6:$D$55,$A12,WBS!$B$6:$B$55,$A$59:$A$66),L$59:L$66))</f>
        <v/>
      </c>
      <c r="M12" s="73" t="str">
        <f aca="false">IF($A12="","",SUMPRODUCT(SUMIFS(WBS!$G$6:$G$55,WBS!$D$6:$D$55,$A12,WBS!$B$6:$B$55,$A$59:$A$66),M$59:M$66))</f>
        <v/>
      </c>
      <c r="N12" s="73" t="str">
        <f aca="false">IF($A12="","",SUMPRODUCT(SUMIFS(WBS!$G$6:$G$55,WBS!$D$6:$D$55,$A12,WBS!$B$6:$B$55,$A$59:$A$66),N$59:N$66))</f>
        <v/>
      </c>
      <c r="O12" s="73" t="str">
        <f aca="false">IF($A12="","",SUMPRODUCT(SUMIFS(WBS!$G$6:$G$55,WBS!$D$6:$D$55,$A12,WBS!$B$6:$B$55,$A$59:$A$66),O$59:O$66))</f>
        <v/>
      </c>
      <c r="P12" s="74" t="str">
        <f aca="false">IF(A12="","",SUM(D12:O12))</f>
        <v/>
      </c>
      <c r="Q12" s="47" t="str">
        <f aca="false">IF(A12="","",SUMIFS(WBS!$G$6:$G$55,WBS!$D$6:$D$55,A12))</f>
        <v/>
      </c>
    </row>
    <row r="13" customFormat="false" ht="15" hidden="true" customHeight="true" outlineLevel="1" collapsed="false">
      <c r="A13" s="64" t="str">
        <f aca="false">IF(Settings!A10="","",Settings!A10)</f>
        <v/>
      </c>
      <c r="B13" s="42" t="str">
        <f aca="false">IF(A13="","",Settings!B10)</f>
        <v/>
      </c>
      <c r="C13" s="72" t="str">
        <f aca="false">IF(A13="","",Settings!D10)</f>
        <v/>
      </c>
      <c r="D13" s="73" t="str">
        <f aca="false">IF($A13="","",SUMPRODUCT(SUMIFS(WBS!$G$6:$G$55,WBS!$D$6:$D$55,$A13,WBS!$B$6:$B$55,$A$59:$A$66),D$59:D$66))</f>
        <v/>
      </c>
      <c r="E13" s="73" t="str">
        <f aca="false">IF($A13="","",SUMPRODUCT(SUMIFS(WBS!$G$6:$G$55,WBS!$D$6:$D$55,$A13,WBS!$B$6:$B$55,$A$59:$A$66),E$59:E$66))</f>
        <v/>
      </c>
      <c r="F13" s="73" t="str">
        <f aca="false">IF($A13="","",SUMPRODUCT(SUMIFS(WBS!$G$6:$G$55,WBS!$D$6:$D$55,$A13,WBS!$B$6:$B$55,$A$59:$A$66),F$59:F$66))</f>
        <v/>
      </c>
      <c r="G13" s="73" t="str">
        <f aca="false">IF($A13="","",SUMPRODUCT(SUMIFS(WBS!$G$6:$G$55,WBS!$D$6:$D$55,$A13,WBS!$B$6:$B$55,$A$59:$A$66),G$59:G$66))</f>
        <v/>
      </c>
      <c r="H13" s="73" t="str">
        <f aca="false">IF($A13="","",SUMPRODUCT(SUMIFS(WBS!$G$6:$G$55,WBS!$D$6:$D$55,$A13,WBS!$B$6:$B$55,$A$59:$A$66),H$59:H$66))</f>
        <v/>
      </c>
      <c r="I13" s="73" t="str">
        <f aca="false">IF($A13="","",SUMPRODUCT(SUMIFS(WBS!$G$6:$G$55,WBS!$D$6:$D$55,$A13,WBS!$B$6:$B$55,$A$59:$A$66),I$59:I$66))</f>
        <v/>
      </c>
      <c r="J13" s="73" t="str">
        <f aca="false">IF($A13="","",SUMPRODUCT(SUMIFS(WBS!$G$6:$G$55,WBS!$D$6:$D$55,$A13,WBS!$B$6:$B$55,$A$59:$A$66),J$59:J$66))</f>
        <v/>
      </c>
      <c r="K13" s="73" t="str">
        <f aca="false">IF($A13="","",SUMPRODUCT(SUMIFS(WBS!$G$6:$G$55,WBS!$D$6:$D$55,$A13,WBS!$B$6:$B$55,$A$59:$A$66),K$59:K$66))</f>
        <v/>
      </c>
      <c r="L13" s="73" t="str">
        <f aca="false">IF($A13="","",SUMPRODUCT(SUMIFS(WBS!$G$6:$G$55,WBS!$D$6:$D$55,$A13,WBS!$B$6:$B$55,$A$59:$A$66),L$59:L$66))</f>
        <v/>
      </c>
      <c r="M13" s="73" t="str">
        <f aca="false">IF($A13="","",SUMPRODUCT(SUMIFS(WBS!$G$6:$G$55,WBS!$D$6:$D$55,$A13,WBS!$B$6:$B$55,$A$59:$A$66),M$59:M$66))</f>
        <v/>
      </c>
      <c r="N13" s="73" t="str">
        <f aca="false">IF($A13="","",SUMPRODUCT(SUMIFS(WBS!$G$6:$G$55,WBS!$D$6:$D$55,$A13,WBS!$B$6:$B$55,$A$59:$A$66),N$59:N$66))</f>
        <v/>
      </c>
      <c r="O13" s="73" t="str">
        <f aca="false">IF($A13="","",SUMPRODUCT(SUMIFS(WBS!$G$6:$G$55,WBS!$D$6:$D$55,$A13,WBS!$B$6:$B$55,$A$59:$A$66),O$59:O$66))</f>
        <v/>
      </c>
      <c r="P13" s="74" t="str">
        <f aca="false">IF(A13="","",SUM(D13:O13))</f>
        <v/>
      </c>
      <c r="Q13" s="47" t="str">
        <f aca="false">IF(A13="","",SUMIFS(WBS!$G$6:$G$55,WBS!$D$6:$D$55,A13))</f>
        <v/>
      </c>
    </row>
    <row r="14" customFormat="false" ht="15" hidden="true" customHeight="true" outlineLevel="1" collapsed="false">
      <c r="A14" s="64" t="str">
        <f aca="false">IF(Settings!A11="","",Settings!A11)</f>
        <v/>
      </c>
      <c r="B14" s="42" t="str">
        <f aca="false">IF(A14="","",Settings!B11)</f>
        <v/>
      </c>
      <c r="C14" s="72" t="str">
        <f aca="false">IF(A14="","",Settings!D11)</f>
        <v/>
      </c>
      <c r="D14" s="73" t="str">
        <f aca="false">IF($A14="","",SUMPRODUCT(SUMIFS(WBS!$G$6:$G$55,WBS!$D$6:$D$55,$A14,WBS!$B$6:$B$55,$A$59:$A$66),D$59:D$66))</f>
        <v/>
      </c>
      <c r="E14" s="73" t="str">
        <f aca="false">IF($A14="","",SUMPRODUCT(SUMIFS(WBS!$G$6:$G$55,WBS!$D$6:$D$55,$A14,WBS!$B$6:$B$55,$A$59:$A$66),E$59:E$66))</f>
        <v/>
      </c>
      <c r="F14" s="73" t="str">
        <f aca="false">IF($A14="","",SUMPRODUCT(SUMIFS(WBS!$G$6:$G$55,WBS!$D$6:$D$55,$A14,WBS!$B$6:$B$55,$A$59:$A$66),F$59:F$66))</f>
        <v/>
      </c>
      <c r="G14" s="73" t="str">
        <f aca="false">IF($A14="","",SUMPRODUCT(SUMIFS(WBS!$G$6:$G$55,WBS!$D$6:$D$55,$A14,WBS!$B$6:$B$55,$A$59:$A$66),G$59:G$66))</f>
        <v/>
      </c>
      <c r="H14" s="73" t="str">
        <f aca="false">IF($A14="","",SUMPRODUCT(SUMIFS(WBS!$G$6:$G$55,WBS!$D$6:$D$55,$A14,WBS!$B$6:$B$55,$A$59:$A$66),H$59:H$66))</f>
        <v/>
      </c>
      <c r="I14" s="73" t="str">
        <f aca="false">IF($A14="","",SUMPRODUCT(SUMIFS(WBS!$G$6:$G$55,WBS!$D$6:$D$55,$A14,WBS!$B$6:$B$55,$A$59:$A$66),I$59:I$66))</f>
        <v/>
      </c>
      <c r="J14" s="73" t="str">
        <f aca="false">IF($A14="","",SUMPRODUCT(SUMIFS(WBS!$G$6:$G$55,WBS!$D$6:$D$55,$A14,WBS!$B$6:$B$55,$A$59:$A$66),J$59:J$66))</f>
        <v/>
      </c>
      <c r="K14" s="73" t="str">
        <f aca="false">IF($A14="","",SUMPRODUCT(SUMIFS(WBS!$G$6:$G$55,WBS!$D$6:$D$55,$A14,WBS!$B$6:$B$55,$A$59:$A$66),K$59:K$66))</f>
        <v/>
      </c>
      <c r="L14" s="73" t="str">
        <f aca="false">IF($A14="","",SUMPRODUCT(SUMIFS(WBS!$G$6:$G$55,WBS!$D$6:$D$55,$A14,WBS!$B$6:$B$55,$A$59:$A$66),L$59:L$66))</f>
        <v/>
      </c>
      <c r="M14" s="73" t="str">
        <f aca="false">IF($A14="","",SUMPRODUCT(SUMIFS(WBS!$G$6:$G$55,WBS!$D$6:$D$55,$A14,WBS!$B$6:$B$55,$A$59:$A$66),M$59:M$66))</f>
        <v/>
      </c>
      <c r="N14" s="73" t="str">
        <f aca="false">IF($A14="","",SUMPRODUCT(SUMIFS(WBS!$G$6:$G$55,WBS!$D$6:$D$55,$A14,WBS!$B$6:$B$55,$A$59:$A$66),N$59:N$66))</f>
        <v/>
      </c>
      <c r="O14" s="73" t="str">
        <f aca="false">IF($A14="","",SUMPRODUCT(SUMIFS(WBS!$G$6:$G$55,WBS!$D$6:$D$55,$A14,WBS!$B$6:$B$55,$A$59:$A$66),O$59:O$66))</f>
        <v/>
      </c>
      <c r="P14" s="74" t="str">
        <f aca="false">IF(A14="","",SUM(D14:O14))</f>
        <v/>
      </c>
      <c r="Q14" s="47" t="str">
        <f aca="false">IF(A14="","",SUMIFS(WBS!$G$6:$G$55,WBS!$D$6:$D$55,A14))</f>
        <v/>
      </c>
    </row>
    <row r="15" customFormat="false" ht="15" hidden="true" customHeight="true" outlineLevel="1" collapsed="false">
      <c r="A15" s="51" t="s">
        <v>369</v>
      </c>
      <c r="D15" s="75" t="n">
        <f aca="false">SUM(D9:D14)</f>
        <v>41.2872807017544</v>
      </c>
      <c r="E15" s="75" t="n">
        <f aca="false">SUM(E9:E14)</f>
        <v>37.1585526315789</v>
      </c>
      <c r="F15" s="75" t="n">
        <f aca="false">SUM(F9:F14)</f>
        <v>41.5987492735297</v>
      </c>
      <c r="G15" s="75" t="n">
        <f aca="false">SUM(G9:G14)</f>
        <v>41.9102178453049</v>
      </c>
      <c r="H15" s="75" t="n">
        <f aca="false">SUM(H9:H14)</f>
        <v>42.8817274347135</v>
      </c>
      <c r="I15" s="75" t="n">
        <f aca="false">SUM(I9:I14)</f>
        <v>39.6622152395915</v>
      </c>
      <c r="J15" s="75" t="n">
        <f aca="false">SUM(J9:J14)</f>
        <v>41.682302771855</v>
      </c>
      <c r="K15" s="75" t="n">
        <f aca="false">SUM(K9:K14)</f>
        <v>58.2336438110201</v>
      </c>
      <c r="L15" s="75" t="n">
        <f aca="false">SUM(L9:L14)</f>
        <v>37.6855391236039</v>
      </c>
      <c r="M15" s="75" t="n">
        <f aca="false">SUM(M9:M14)</f>
        <v>20.5908466819222</v>
      </c>
      <c r="N15" s="75" t="n">
        <f aca="false">SUM(N9:N14)</f>
        <v>37.749885583524</v>
      </c>
      <c r="O15" s="75" t="n">
        <f aca="false">SUM(O9:O14)</f>
        <v>17.1590389016018</v>
      </c>
      <c r="P15" s="75" t="n">
        <f aca="false">SUM(P9:P14)</f>
        <v>457.6</v>
      </c>
      <c r="Q15" s="75" t="n">
        <f aca="false">SUM(Q9:Q14)</f>
        <v>457.6</v>
      </c>
    </row>
    <row r="16" customFormat="false" ht="15" hidden="true" customHeight="true" outlineLevel="1" collapsed="false">
      <c r="A16" s="34" t="s">
        <v>370</v>
      </c>
    </row>
    <row r="18" customFormat="false" ht="15" hidden="false" customHeight="true" outlineLevel="0" collapsed="false">
      <c r="A18" s="21" t="s">
        <v>371</v>
      </c>
    </row>
    <row r="19" customFormat="false" ht="15" hidden="false" customHeight="true" outlineLevel="0" collapsed="false">
      <c r="A19" s="22" t="s">
        <v>83</v>
      </c>
      <c r="B19" s="22" t="s">
        <v>84</v>
      </c>
      <c r="C19" s="22" t="s">
        <v>367</v>
      </c>
      <c r="D19" s="70" t="n">
        <f aca="false">D$4</f>
        <v>46327</v>
      </c>
      <c r="E19" s="70" t="n">
        <f aca="false">E$4</f>
        <v>46357</v>
      </c>
      <c r="F19" s="70" t="n">
        <f aca="false">F$4</f>
        <v>46388</v>
      </c>
      <c r="G19" s="70" t="n">
        <f aca="false">G$4</f>
        <v>46419</v>
      </c>
      <c r="H19" s="70" t="n">
        <f aca="false">H$4</f>
        <v>46447</v>
      </c>
      <c r="I19" s="70" t="n">
        <f aca="false">I$4</f>
        <v>46478</v>
      </c>
      <c r="J19" s="70" t="n">
        <f aca="false">J$4</f>
        <v>46508</v>
      </c>
      <c r="K19" s="70" t="n">
        <f aca="false">K$4</f>
        <v>46539</v>
      </c>
      <c r="L19" s="70" t="n">
        <f aca="false">L$4</f>
        <v>46569</v>
      </c>
      <c r="M19" s="70" t="n">
        <f aca="false">M$4</f>
        <v>46600</v>
      </c>
      <c r="N19" s="70" t="n">
        <f aca="false">N$4</f>
        <v>46631</v>
      </c>
      <c r="O19" s="70" t="n">
        <f aca="false">O$4</f>
        <v>46661</v>
      </c>
      <c r="P19" s="22" t="s">
        <v>364</v>
      </c>
    </row>
    <row r="20" customFormat="false" ht="15" hidden="false" customHeight="true" outlineLevel="0" collapsed="false">
      <c r="A20" s="64" t="str">
        <f aca="false">IF(Settings!A6="","",Settings!A6)</f>
        <v>Léa</v>
      </c>
      <c r="B20" s="42" t="str">
        <f aca="false">IF(A20="","",Settings!B6)</f>
        <v>Programming</v>
      </c>
      <c r="C20" s="72" t="n">
        <f aca="false">IF(A20="","",Settings!D6)</f>
        <v>1</v>
      </c>
      <c r="D20" s="76"/>
      <c r="E20" s="76"/>
      <c r="F20" s="76"/>
      <c r="G20" s="76"/>
      <c r="H20" s="76"/>
      <c r="I20" s="76"/>
      <c r="J20" s="76"/>
      <c r="K20" s="76"/>
      <c r="L20" s="76"/>
      <c r="M20" s="76"/>
      <c r="N20" s="76" t="n">
        <v>3</v>
      </c>
      <c r="O20" s="76"/>
      <c r="P20" s="77" t="n">
        <f aca="false">IF(A20="","",SUM(D20:O20))</f>
        <v>3</v>
      </c>
    </row>
    <row r="21" customFormat="false" ht="15" hidden="false" customHeight="true" outlineLevel="0" collapsed="false">
      <c r="A21" s="64" t="str">
        <f aca="false">IF(Settings!A7="","",Settings!A7)</f>
        <v>Sam</v>
      </c>
      <c r="B21" s="42" t="str">
        <f aca="false">IF(A21="","",Settings!B7)</f>
        <v>Art</v>
      </c>
      <c r="C21" s="72" t="n">
        <f aca="false">IF(A21="","",Settings!D7)</f>
        <v>1</v>
      </c>
      <c r="D21" s="76"/>
      <c r="E21" s="76"/>
      <c r="F21" s="76"/>
      <c r="G21" s="76"/>
      <c r="H21" s="76"/>
      <c r="I21" s="76"/>
      <c r="J21" s="76"/>
      <c r="K21" s="76"/>
      <c r="L21" s="76" t="n">
        <v>3</v>
      </c>
      <c r="M21" s="76"/>
      <c r="N21" s="76"/>
      <c r="O21" s="76"/>
      <c r="P21" s="77" t="n">
        <f aca="false">IF(A21="","",SUM(D21:O21))</f>
        <v>3</v>
      </c>
    </row>
    <row r="22" customFormat="false" ht="15" hidden="false" customHeight="true" outlineLevel="0" collapsed="false">
      <c r="A22" s="64" t="str">
        <f aca="false">IF(Settings!A8="","",Settings!A8)</f>
        <v>Noé</v>
      </c>
      <c r="B22" s="42" t="str">
        <f aca="false">IF(A22="","",Settings!B8)</f>
        <v>Design and production</v>
      </c>
      <c r="C22" s="72" t="n">
        <f aca="false">IF(A22="","",Settings!D8)</f>
        <v>0.8</v>
      </c>
      <c r="D22" s="76"/>
      <c r="E22" s="76"/>
      <c r="F22" s="76"/>
      <c r="G22" s="76"/>
      <c r="H22" s="76"/>
      <c r="I22" s="76" t="n">
        <v>2</v>
      </c>
      <c r="J22" s="76"/>
      <c r="K22" s="76"/>
      <c r="L22" s="76"/>
      <c r="M22" s="76"/>
      <c r="N22" s="76"/>
      <c r="O22" s="76"/>
      <c r="P22" s="77" t="n">
        <f aca="false">IF(A22="","",SUM(D22:O22))</f>
        <v>2</v>
      </c>
    </row>
    <row r="23" customFormat="false" ht="15" hidden="false" customHeight="true" outlineLevel="0" collapsed="false">
      <c r="A23" s="64" t="str">
        <f aca="false">IF(Settings!A9="","",Settings!A9)</f>
        <v/>
      </c>
      <c r="B23" s="42" t="str">
        <f aca="false">IF(A23="","",Settings!B9)</f>
        <v/>
      </c>
      <c r="C23" s="72" t="str">
        <f aca="false">IF(A23="","",Settings!D9)</f>
        <v/>
      </c>
      <c r="D23" s="76"/>
      <c r="E23" s="76"/>
      <c r="F23" s="76"/>
      <c r="G23" s="76"/>
      <c r="H23" s="76"/>
      <c r="I23" s="76"/>
      <c r="J23" s="76"/>
      <c r="K23" s="76"/>
      <c r="L23" s="76"/>
      <c r="M23" s="76"/>
      <c r="N23" s="76"/>
      <c r="O23" s="76"/>
      <c r="P23" s="77" t="str">
        <f aca="false">IF(A23="","",SUM(D23:O23))</f>
        <v/>
      </c>
    </row>
    <row r="24" customFormat="false" ht="15" hidden="false" customHeight="true" outlineLevel="0" collapsed="false">
      <c r="A24" s="64" t="str">
        <f aca="false">IF(Settings!A10="","",Settings!A10)</f>
        <v/>
      </c>
      <c r="B24" s="42" t="str">
        <f aca="false">IF(A24="","",Settings!B10)</f>
        <v/>
      </c>
      <c r="C24" s="72" t="str">
        <f aca="false">IF(A24="","",Settings!D10)</f>
        <v/>
      </c>
      <c r="D24" s="76"/>
      <c r="E24" s="76"/>
      <c r="F24" s="76"/>
      <c r="G24" s="76"/>
      <c r="H24" s="76"/>
      <c r="I24" s="76"/>
      <c r="J24" s="76"/>
      <c r="K24" s="76"/>
      <c r="L24" s="76"/>
      <c r="M24" s="76"/>
      <c r="N24" s="76"/>
      <c r="O24" s="76"/>
      <c r="P24" s="77" t="str">
        <f aca="false">IF(A24="","",SUM(D24:O24))</f>
        <v/>
      </c>
    </row>
    <row r="25" customFormat="false" ht="15" hidden="false" customHeight="true" outlineLevel="0" collapsed="false">
      <c r="A25" s="64" t="str">
        <f aca="false">IF(Settings!A11="","",Settings!A11)</f>
        <v/>
      </c>
      <c r="B25" s="42" t="str">
        <f aca="false">IF(A25="","",Settings!B11)</f>
        <v/>
      </c>
      <c r="C25" s="72" t="str">
        <f aca="false">IF(A25="","",Settings!D11)</f>
        <v/>
      </c>
      <c r="D25" s="76"/>
      <c r="E25" s="76"/>
      <c r="F25" s="76"/>
      <c r="G25" s="76"/>
      <c r="H25" s="76"/>
      <c r="I25" s="76"/>
      <c r="J25" s="76"/>
      <c r="K25" s="76"/>
      <c r="L25" s="76"/>
      <c r="M25" s="76"/>
      <c r="N25" s="76"/>
      <c r="O25" s="76"/>
      <c r="P25" s="77" t="str">
        <f aca="false">IF(A25="","",SUM(D25:O25))</f>
        <v/>
      </c>
    </row>
    <row r="27" customFormat="false" ht="15" hidden="false" customHeight="true" outlineLevel="0" collapsed="false">
      <c r="A27" s="21" t="s">
        <v>372</v>
      </c>
    </row>
    <row r="28" customFormat="false" ht="15" hidden="true" customHeight="true" outlineLevel="1" collapsed="false">
      <c r="A28" s="22" t="s">
        <v>83</v>
      </c>
      <c r="B28" s="22" t="s">
        <v>84</v>
      </c>
      <c r="C28" s="22" t="s">
        <v>367</v>
      </c>
      <c r="D28" s="70" t="n">
        <f aca="false">D$4</f>
        <v>46327</v>
      </c>
      <c r="E28" s="70" t="n">
        <f aca="false">E$4</f>
        <v>46357</v>
      </c>
      <c r="F28" s="70" t="n">
        <f aca="false">F$4</f>
        <v>46388</v>
      </c>
      <c r="G28" s="70" t="n">
        <f aca="false">G$4</f>
        <v>46419</v>
      </c>
      <c r="H28" s="70" t="n">
        <f aca="false">H$4</f>
        <v>46447</v>
      </c>
      <c r="I28" s="70" t="n">
        <f aca="false">I$4</f>
        <v>46478</v>
      </c>
      <c r="J28" s="70" t="n">
        <f aca="false">J$4</f>
        <v>46508</v>
      </c>
      <c r="K28" s="70" t="n">
        <f aca="false">K$4</f>
        <v>46539</v>
      </c>
      <c r="L28" s="70" t="n">
        <f aca="false">L$4</f>
        <v>46569</v>
      </c>
      <c r="M28" s="70" t="n">
        <f aca="false">M$4</f>
        <v>46600</v>
      </c>
      <c r="N28" s="70" t="n">
        <f aca="false">N$4</f>
        <v>46631</v>
      </c>
      <c r="O28" s="70" t="n">
        <f aca="false">O$4</f>
        <v>46661</v>
      </c>
      <c r="P28" s="22" t="s">
        <v>364</v>
      </c>
    </row>
    <row r="29" customFormat="false" ht="15" hidden="true" customHeight="true" outlineLevel="1" collapsed="false">
      <c r="A29" s="64" t="str">
        <f aca="false">IF(Settings!A6="","",Settings!A6)</f>
        <v>Léa</v>
      </c>
      <c r="B29" s="42" t="str">
        <f aca="false">IF(A29="","",Settings!B6)</f>
        <v>Programming</v>
      </c>
      <c r="C29" s="72" t="n">
        <f aca="false">IF(A29="","",Settings!D6)</f>
        <v>1</v>
      </c>
      <c r="D29" s="47" t="n">
        <f aca="false">IF($A29="","",MAX(0,D$5*N($C29)-N(D20))*(1-Marge))</f>
        <v>18</v>
      </c>
      <c r="E29" s="47" t="n">
        <f aca="false">IF($A29="","",MAX(0,E$5*N($C29)-N(E20))*(1-Marge))</f>
        <v>16.2</v>
      </c>
      <c r="F29" s="47" t="n">
        <f aca="false">IF($A29="","",MAX(0,F$5*N($C29)-N(F20))*(1-Marge))</f>
        <v>18</v>
      </c>
      <c r="G29" s="47" t="n">
        <f aca="false">IF($A29="","",MAX(0,G$5*N($C29)-N(G20))*(1-Marge))</f>
        <v>18</v>
      </c>
      <c r="H29" s="47" t="n">
        <f aca="false">IF($A29="","",MAX(0,H$5*N($C29)-N(H20))*(1-Marge))</f>
        <v>19.8</v>
      </c>
      <c r="I29" s="47" t="n">
        <f aca="false">IF($A29="","",MAX(0,I$5*N($C29)-N(I20))*(1-Marge))</f>
        <v>19.8</v>
      </c>
      <c r="J29" s="47" t="n">
        <f aca="false">IF($A29="","",MAX(0,J$5*N($C29)-N(J20))*(1-Marge))</f>
        <v>17.1</v>
      </c>
      <c r="K29" s="47" t="n">
        <f aca="false">IF($A29="","",MAX(0,K$5*N($C29)-N(K20))*(1-Marge))</f>
        <v>19.8</v>
      </c>
      <c r="L29" s="47" t="n">
        <f aca="false">IF($A29="","",MAX(0,L$5*N($C29)-N(L20))*(1-Marge))</f>
        <v>18.9</v>
      </c>
      <c r="M29" s="47" t="n">
        <f aca="false">IF($A29="","",MAX(0,M$5*N($C29)-N(M20))*(1-Marge))</f>
        <v>10.8</v>
      </c>
      <c r="N29" s="47" t="n">
        <f aca="false">IF($A29="","",MAX(0,N$5*N($C29)-N(N20))*(1-Marge))</f>
        <v>17.1</v>
      </c>
      <c r="O29" s="47" t="n">
        <f aca="false">IF($A29="","",MAX(0,O$5*N($C29)-N(O20))*(1-Marge))</f>
        <v>18.9</v>
      </c>
      <c r="P29" s="74" t="n">
        <f aca="false">IF(A29="","",SUM(D29:O29))</f>
        <v>212.4</v>
      </c>
    </row>
    <row r="30" customFormat="false" ht="15" hidden="true" customHeight="true" outlineLevel="1" collapsed="false">
      <c r="A30" s="64" t="str">
        <f aca="false">IF(Settings!A7="","",Settings!A7)</f>
        <v>Sam</v>
      </c>
      <c r="B30" s="42" t="str">
        <f aca="false">IF(A30="","",Settings!B7)</f>
        <v>Art</v>
      </c>
      <c r="C30" s="72" t="n">
        <f aca="false">IF(A30="","",Settings!D7)</f>
        <v>1</v>
      </c>
      <c r="D30" s="47" t="n">
        <f aca="false">IF($A30="","",MAX(0,D$5*N($C30)-N(D21))*(1-Marge))</f>
        <v>18</v>
      </c>
      <c r="E30" s="47" t="n">
        <f aca="false">IF($A30="","",MAX(0,E$5*N($C30)-N(E21))*(1-Marge))</f>
        <v>16.2</v>
      </c>
      <c r="F30" s="47" t="n">
        <f aca="false">IF($A30="","",MAX(0,F$5*N($C30)-N(F21))*(1-Marge))</f>
        <v>18</v>
      </c>
      <c r="G30" s="47" t="n">
        <f aca="false">IF($A30="","",MAX(0,G$5*N($C30)-N(G21))*(1-Marge))</f>
        <v>18</v>
      </c>
      <c r="H30" s="47" t="n">
        <f aca="false">IF($A30="","",MAX(0,H$5*N($C30)-N(H21))*(1-Marge))</f>
        <v>19.8</v>
      </c>
      <c r="I30" s="47" t="n">
        <f aca="false">IF($A30="","",MAX(0,I$5*N($C30)-N(I21))*(1-Marge))</f>
        <v>19.8</v>
      </c>
      <c r="J30" s="47" t="n">
        <f aca="false">IF($A30="","",MAX(0,J$5*N($C30)-N(J21))*(1-Marge))</f>
        <v>17.1</v>
      </c>
      <c r="K30" s="47" t="n">
        <f aca="false">IF($A30="","",MAX(0,K$5*N($C30)-N(K21))*(1-Marge))</f>
        <v>19.8</v>
      </c>
      <c r="L30" s="47" t="n">
        <f aca="false">IF($A30="","",MAX(0,L$5*N($C30)-N(L21))*(1-Marge))</f>
        <v>16.2</v>
      </c>
      <c r="M30" s="47" t="n">
        <f aca="false">IF($A30="","",MAX(0,M$5*N($C30)-N(M21))*(1-Marge))</f>
        <v>10.8</v>
      </c>
      <c r="N30" s="47" t="n">
        <f aca="false">IF($A30="","",MAX(0,N$5*N($C30)-N(N21))*(1-Marge))</f>
        <v>19.8</v>
      </c>
      <c r="O30" s="47" t="n">
        <f aca="false">IF($A30="","",MAX(0,O$5*N($C30)-N(O21))*(1-Marge))</f>
        <v>18.9</v>
      </c>
      <c r="P30" s="74" t="n">
        <f aca="false">IF(A30="","",SUM(D30:O30))</f>
        <v>212.4</v>
      </c>
    </row>
    <row r="31" customFormat="false" ht="15" hidden="true" customHeight="true" outlineLevel="1" collapsed="false">
      <c r="A31" s="64" t="str">
        <f aca="false">IF(Settings!A8="","",Settings!A8)</f>
        <v>Noé</v>
      </c>
      <c r="B31" s="42" t="str">
        <f aca="false">IF(A31="","",Settings!B8)</f>
        <v>Design and production</v>
      </c>
      <c r="C31" s="72" t="n">
        <f aca="false">IF(A31="","",Settings!D8)</f>
        <v>0.8</v>
      </c>
      <c r="D31" s="47" t="n">
        <f aca="false">IF($A31="","",MAX(0,D$5*N($C31)-N(D22))*(1-Marge))</f>
        <v>14.4</v>
      </c>
      <c r="E31" s="47" t="n">
        <f aca="false">IF($A31="","",MAX(0,E$5*N($C31)-N(E22))*(1-Marge))</f>
        <v>12.96</v>
      </c>
      <c r="F31" s="47" t="n">
        <f aca="false">IF($A31="","",MAX(0,F$5*N($C31)-N(F22))*(1-Marge))</f>
        <v>14.4</v>
      </c>
      <c r="G31" s="47" t="n">
        <f aca="false">IF($A31="","",MAX(0,G$5*N($C31)-N(G22))*(1-Marge))</f>
        <v>14.4</v>
      </c>
      <c r="H31" s="47" t="n">
        <f aca="false">IF($A31="","",MAX(0,H$5*N($C31)-N(H22))*(1-Marge))</f>
        <v>15.84</v>
      </c>
      <c r="I31" s="47" t="n">
        <f aca="false">IF($A31="","",MAX(0,I$5*N($C31)-N(I22))*(1-Marge))</f>
        <v>14.04</v>
      </c>
      <c r="J31" s="47" t="n">
        <f aca="false">IF($A31="","",MAX(0,J$5*N($C31)-N(J22))*(1-Marge))</f>
        <v>13.68</v>
      </c>
      <c r="K31" s="47" t="n">
        <f aca="false">IF($A31="","",MAX(0,K$5*N($C31)-N(K22))*(1-Marge))</f>
        <v>15.84</v>
      </c>
      <c r="L31" s="47" t="n">
        <f aca="false">IF($A31="","",MAX(0,L$5*N($C31)-N(L22))*(1-Marge))</f>
        <v>15.12</v>
      </c>
      <c r="M31" s="47" t="n">
        <f aca="false">IF($A31="","",MAX(0,M$5*N($C31)-N(M22))*(1-Marge))</f>
        <v>8.64</v>
      </c>
      <c r="N31" s="47" t="n">
        <f aca="false">IF($A31="","",MAX(0,N$5*N($C31)-N(N22))*(1-Marge))</f>
        <v>15.84</v>
      </c>
      <c r="O31" s="47" t="n">
        <f aca="false">IF($A31="","",MAX(0,O$5*N($C31)-N(O22))*(1-Marge))</f>
        <v>15.12</v>
      </c>
      <c r="P31" s="74" t="n">
        <f aca="false">IF(A31="","",SUM(D31:O31))</f>
        <v>170.28</v>
      </c>
    </row>
    <row r="32" customFormat="false" ht="15" hidden="true" customHeight="true" outlineLevel="1" collapsed="false">
      <c r="A32" s="64" t="str">
        <f aca="false">IF(Settings!A9="","",Settings!A9)</f>
        <v/>
      </c>
      <c r="B32" s="42" t="str">
        <f aca="false">IF(A32="","",Settings!B9)</f>
        <v/>
      </c>
      <c r="C32" s="72" t="str">
        <f aca="false">IF(A32="","",Settings!D9)</f>
        <v/>
      </c>
      <c r="D32" s="47" t="str">
        <f aca="false">IF($A32="","",MAX(0,D$5*N($C32)-N(D23))*(1-Marge))</f>
        <v/>
      </c>
      <c r="E32" s="47" t="str">
        <f aca="false">IF($A32="","",MAX(0,E$5*N($C32)-N(E23))*(1-Marge))</f>
        <v/>
      </c>
      <c r="F32" s="47" t="str">
        <f aca="false">IF($A32="","",MAX(0,F$5*N($C32)-N(F23))*(1-Marge))</f>
        <v/>
      </c>
      <c r="G32" s="47" t="str">
        <f aca="false">IF($A32="","",MAX(0,G$5*N($C32)-N(G23))*(1-Marge))</f>
        <v/>
      </c>
      <c r="H32" s="47" t="str">
        <f aca="false">IF($A32="","",MAX(0,H$5*N($C32)-N(H23))*(1-Marge))</f>
        <v/>
      </c>
      <c r="I32" s="47" t="str">
        <f aca="false">IF($A32="","",MAX(0,I$5*N($C32)-N(I23))*(1-Marge))</f>
        <v/>
      </c>
      <c r="J32" s="47" t="str">
        <f aca="false">IF($A32="","",MAX(0,J$5*N($C32)-N(J23))*(1-Marge))</f>
        <v/>
      </c>
      <c r="K32" s="47" t="str">
        <f aca="false">IF($A32="","",MAX(0,K$5*N($C32)-N(K23))*(1-Marge))</f>
        <v/>
      </c>
      <c r="L32" s="47" t="str">
        <f aca="false">IF($A32="","",MAX(0,L$5*N($C32)-N(L23))*(1-Marge))</f>
        <v/>
      </c>
      <c r="M32" s="47" t="str">
        <f aca="false">IF($A32="","",MAX(0,M$5*N($C32)-N(M23))*(1-Marge))</f>
        <v/>
      </c>
      <c r="N32" s="47" t="str">
        <f aca="false">IF($A32="","",MAX(0,N$5*N($C32)-N(N23))*(1-Marge))</f>
        <v/>
      </c>
      <c r="O32" s="47" t="str">
        <f aca="false">IF($A32="","",MAX(0,O$5*N($C32)-N(O23))*(1-Marge))</f>
        <v/>
      </c>
      <c r="P32" s="74" t="str">
        <f aca="false">IF(A32="","",SUM(D32:O32))</f>
        <v/>
      </c>
    </row>
    <row r="33" customFormat="false" ht="15" hidden="true" customHeight="true" outlineLevel="1" collapsed="false">
      <c r="A33" s="64" t="str">
        <f aca="false">IF(Settings!A10="","",Settings!A10)</f>
        <v/>
      </c>
      <c r="B33" s="42" t="str">
        <f aca="false">IF(A33="","",Settings!B10)</f>
        <v/>
      </c>
      <c r="C33" s="72" t="str">
        <f aca="false">IF(A33="","",Settings!D10)</f>
        <v/>
      </c>
      <c r="D33" s="47" t="str">
        <f aca="false">IF($A33="","",MAX(0,D$5*N($C33)-N(D24))*(1-Marge))</f>
        <v/>
      </c>
      <c r="E33" s="47" t="str">
        <f aca="false">IF($A33="","",MAX(0,E$5*N($C33)-N(E24))*(1-Marge))</f>
        <v/>
      </c>
      <c r="F33" s="47" t="str">
        <f aca="false">IF($A33="","",MAX(0,F$5*N($C33)-N(F24))*(1-Marge))</f>
        <v/>
      </c>
      <c r="G33" s="47" t="str">
        <f aca="false">IF($A33="","",MAX(0,G$5*N($C33)-N(G24))*(1-Marge))</f>
        <v/>
      </c>
      <c r="H33" s="47" t="str">
        <f aca="false">IF($A33="","",MAX(0,H$5*N($C33)-N(H24))*(1-Marge))</f>
        <v/>
      </c>
      <c r="I33" s="47" t="str">
        <f aca="false">IF($A33="","",MAX(0,I$5*N($C33)-N(I24))*(1-Marge))</f>
        <v/>
      </c>
      <c r="J33" s="47" t="str">
        <f aca="false">IF($A33="","",MAX(0,J$5*N($C33)-N(J24))*(1-Marge))</f>
        <v/>
      </c>
      <c r="K33" s="47" t="str">
        <f aca="false">IF($A33="","",MAX(0,K$5*N($C33)-N(K24))*(1-Marge))</f>
        <v/>
      </c>
      <c r="L33" s="47" t="str">
        <f aca="false">IF($A33="","",MAX(0,L$5*N($C33)-N(L24))*(1-Marge))</f>
        <v/>
      </c>
      <c r="M33" s="47" t="str">
        <f aca="false">IF($A33="","",MAX(0,M$5*N($C33)-N(M24))*(1-Marge))</f>
        <v/>
      </c>
      <c r="N33" s="47" t="str">
        <f aca="false">IF($A33="","",MAX(0,N$5*N($C33)-N(N24))*(1-Marge))</f>
        <v/>
      </c>
      <c r="O33" s="47" t="str">
        <f aca="false">IF($A33="","",MAX(0,O$5*N($C33)-N(O24))*(1-Marge))</f>
        <v/>
      </c>
      <c r="P33" s="74" t="str">
        <f aca="false">IF(A33="","",SUM(D33:O33))</f>
        <v/>
      </c>
    </row>
    <row r="34" customFormat="false" ht="15" hidden="true" customHeight="true" outlineLevel="1" collapsed="false">
      <c r="A34" s="64" t="str">
        <f aca="false">IF(Settings!A11="","",Settings!A11)</f>
        <v/>
      </c>
      <c r="B34" s="42" t="str">
        <f aca="false">IF(A34="","",Settings!B11)</f>
        <v/>
      </c>
      <c r="C34" s="72" t="str">
        <f aca="false">IF(A34="","",Settings!D11)</f>
        <v/>
      </c>
      <c r="D34" s="47" t="str">
        <f aca="false">IF($A34="","",MAX(0,D$5*N($C34)-N(D25))*(1-Marge))</f>
        <v/>
      </c>
      <c r="E34" s="47" t="str">
        <f aca="false">IF($A34="","",MAX(0,E$5*N($C34)-N(E25))*(1-Marge))</f>
        <v/>
      </c>
      <c r="F34" s="47" t="str">
        <f aca="false">IF($A34="","",MAX(0,F$5*N($C34)-N(F25))*(1-Marge))</f>
        <v/>
      </c>
      <c r="G34" s="47" t="str">
        <f aca="false">IF($A34="","",MAX(0,G$5*N($C34)-N(G25))*(1-Marge))</f>
        <v/>
      </c>
      <c r="H34" s="47" t="str">
        <f aca="false">IF($A34="","",MAX(0,H$5*N($C34)-N(H25))*(1-Marge))</f>
        <v/>
      </c>
      <c r="I34" s="47" t="str">
        <f aca="false">IF($A34="","",MAX(0,I$5*N($C34)-N(I25))*(1-Marge))</f>
        <v/>
      </c>
      <c r="J34" s="47" t="str">
        <f aca="false">IF($A34="","",MAX(0,J$5*N($C34)-N(J25))*(1-Marge))</f>
        <v/>
      </c>
      <c r="K34" s="47" t="str">
        <f aca="false">IF($A34="","",MAX(0,K$5*N($C34)-N(K25))*(1-Marge))</f>
        <v/>
      </c>
      <c r="L34" s="47" t="str">
        <f aca="false">IF($A34="","",MAX(0,L$5*N($C34)-N(L25))*(1-Marge))</f>
        <v/>
      </c>
      <c r="M34" s="47" t="str">
        <f aca="false">IF($A34="","",MAX(0,M$5*N($C34)-N(M25))*(1-Marge))</f>
        <v/>
      </c>
      <c r="N34" s="47" t="str">
        <f aca="false">IF($A34="","",MAX(0,N$5*N($C34)-N(N25))*(1-Marge))</f>
        <v/>
      </c>
      <c r="O34" s="47" t="str">
        <f aca="false">IF($A34="","",MAX(0,O$5*N($C34)-N(O25))*(1-Marge))</f>
        <v/>
      </c>
      <c r="P34" s="74" t="str">
        <f aca="false">IF(A34="","",SUM(D34:O34))</f>
        <v/>
      </c>
    </row>
    <row r="35" customFormat="false" ht="15" hidden="true" customHeight="true" outlineLevel="1" collapsed="false">
      <c r="A35" s="51" t="s">
        <v>369</v>
      </c>
      <c r="D35" s="75" t="n">
        <f aca="false">SUM(D29:D34)</f>
        <v>50.4</v>
      </c>
      <c r="E35" s="75" t="n">
        <f aca="false">SUM(E29:E34)</f>
        <v>45.36</v>
      </c>
      <c r="F35" s="75" t="n">
        <f aca="false">SUM(F29:F34)</f>
        <v>50.4</v>
      </c>
      <c r="G35" s="75" t="n">
        <f aca="false">SUM(G29:G34)</f>
        <v>50.4</v>
      </c>
      <c r="H35" s="75" t="n">
        <f aca="false">SUM(H29:H34)</f>
        <v>55.44</v>
      </c>
      <c r="I35" s="75" t="n">
        <f aca="false">SUM(I29:I34)</f>
        <v>53.64</v>
      </c>
      <c r="J35" s="75" t="n">
        <f aca="false">SUM(J29:J34)</f>
        <v>47.88</v>
      </c>
      <c r="K35" s="75" t="n">
        <f aca="false">SUM(K29:K34)</f>
        <v>55.44</v>
      </c>
      <c r="L35" s="75" t="n">
        <f aca="false">SUM(L29:L34)</f>
        <v>50.22</v>
      </c>
      <c r="M35" s="75" t="n">
        <f aca="false">SUM(M29:M34)</f>
        <v>30.24</v>
      </c>
      <c r="N35" s="75" t="n">
        <f aca="false">SUM(N29:N34)</f>
        <v>52.74</v>
      </c>
      <c r="O35" s="75" t="n">
        <f aca="false">SUM(O29:O34)</f>
        <v>52.92</v>
      </c>
      <c r="P35" s="75" t="n">
        <f aca="false">SUM(P29:P34)</f>
        <v>595.08</v>
      </c>
    </row>
    <row r="37" customFormat="false" ht="15" hidden="false" customHeight="true" outlineLevel="0" collapsed="false">
      <c r="A37" s="78" t="s">
        <v>373</v>
      </c>
    </row>
    <row r="38" customFormat="false" ht="15" hidden="false" customHeight="true" outlineLevel="0" collapsed="false">
      <c r="A38" s="22" t="s">
        <v>83</v>
      </c>
      <c r="B38" s="22" t="s">
        <v>84</v>
      </c>
      <c r="C38" s="22" t="s">
        <v>367</v>
      </c>
      <c r="D38" s="70" t="n">
        <f aca="false">D$4</f>
        <v>46327</v>
      </c>
      <c r="E38" s="70" t="n">
        <f aca="false">E$4</f>
        <v>46357</v>
      </c>
      <c r="F38" s="70" t="n">
        <f aca="false">F$4</f>
        <v>46388</v>
      </c>
      <c r="G38" s="70" t="n">
        <f aca="false">G$4</f>
        <v>46419</v>
      </c>
      <c r="H38" s="70" t="n">
        <f aca="false">H$4</f>
        <v>46447</v>
      </c>
      <c r="I38" s="70" t="n">
        <f aca="false">I$4</f>
        <v>46478</v>
      </c>
      <c r="J38" s="70" t="n">
        <f aca="false">J$4</f>
        <v>46508</v>
      </c>
      <c r="K38" s="70" t="n">
        <f aca="false">K$4</f>
        <v>46539</v>
      </c>
      <c r="L38" s="70" t="n">
        <f aca="false">L$4</f>
        <v>46569</v>
      </c>
      <c r="M38" s="70" t="n">
        <f aca="false">M$4</f>
        <v>46600</v>
      </c>
      <c r="N38" s="70" t="n">
        <f aca="false">N$4</f>
        <v>46631</v>
      </c>
      <c r="O38" s="70" t="n">
        <f aca="false">O$4</f>
        <v>46661</v>
      </c>
      <c r="P38" s="22" t="s">
        <v>364</v>
      </c>
    </row>
    <row r="39" customFormat="false" ht="15" hidden="false" customHeight="true" outlineLevel="0" collapsed="false">
      <c r="A39" s="64" t="str">
        <f aca="false">IF(Settings!A6="","",Settings!A6)</f>
        <v>Léa</v>
      </c>
      <c r="B39" s="42" t="str">
        <f aca="false">IF(A39="","",Settings!B6)</f>
        <v>Programming</v>
      </c>
      <c r="C39" s="72" t="n">
        <f aca="false">IF(A39="","",Settings!D6)</f>
        <v>1</v>
      </c>
      <c r="D39" s="79" t="n">
        <f aca="false">IF($A39="","",IF(N(D29)=0,IF(N(D9)&gt;0,"No capacity",""),D9/D29))</f>
        <v>0.840277777777778</v>
      </c>
      <c r="E39" s="79" t="n">
        <f aca="false">IF($A39="","",IF(N(E29)=0,IF(N(E9)&gt;0,"No capacity",""),E9/E29))</f>
        <v>0.840277777777778</v>
      </c>
      <c r="F39" s="79" t="n">
        <f aca="false">IF($A39="","",IF(N(F29)=0,IF(N(F9)&gt;0,"No capacity",""),F9/F29))</f>
        <v>0.801565091210614</v>
      </c>
      <c r="G39" s="79" t="n">
        <f aca="false">IF($A39="","",IF(N(G29)=0,IF(N(G9)&gt;0,"No capacity",""),G9/G29))</f>
        <v>0.762852404643449</v>
      </c>
      <c r="H39" s="79" t="n">
        <f aca="false">IF($A39="","",IF(N(H29)=0,IF(N(H9)&gt;0,"No capacity",""),H9/H29))</f>
        <v>0.762852404643449</v>
      </c>
      <c r="I39" s="79" t="n">
        <f aca="false">IF($A39="","",IF(N(I29)=0,IF(N(I9)&gt;0,"No capacity",""),I9/I29))</f>
        <v>0.762852404643449</v>
      </c>
      <c r="J39" s="79" t="n">
        <f aca="false">IF($A39="","",IF(N(J29)=0,IF(N(J9)&gt;0,"No capacity",""),J9/J29))</f>
        <v>0.963353657776281</v>
      </c>
      <c r="K39" s="79" t="n">
        <f aca="false">IF($A39="","",IF(N(K29)=0,IF(N(K9)&gt;0,"No capacity",""),K9/K29))</f>
        <v>1.19575283754388</v>
      </c>
      <c r="L39" s="79" t="n">
        <f aca="false">IF($A39="","",IF(N(L29)=0,IF(N(L9)&gt;0,"No capacity",""),L9/L29))</f>
        <v>0.762203475376739</v>
      </c>
      <c r="M39" s="79" t="n">
        <f aca="false">IF($A39="","",IF(N(M29)=0,IF(N(M9)&gt;0,"No capacity",""),M9/M29))</f>
        <v>0.756038647342995</v>
      </c>
      <c r="N39" s="79" t="n">
        <f aca="false">IF($A39="","",IF(N(N29)=0,IF(N(N9)&gt;0,"No capacity",""),N9/N29))</f>
        <v>0.875413170607679</v>
      </c>
      <c r="O39" s="79" t="n">
        <f aca="false">IF($A39="","",IF(N(O29)=0,IF(N(O9)&gt;0,"No capacity",""),O9/O29))</f>
        <v>0.360018403496664</v>
      </c>
      <c r="P39" s="79" t="n">
        <f aca="false">IF($A39="","",IF(N(P29)=0,IF(N(P9)&gt;0,"No capacity",""),P9/P29))</f>
        <v>0.807909604519774</v>
      </c>
    </row>
    <row r="40" customFormat="false" ht="15" hidden="false" customHeight="true" outlineLevel="0" collapsed="false">
      <c r="A40" s="64" t="str">
        <f aca="false">IF(Settings!A7="","",Settings!A7)</f>
        <v>Sam</v>
      </c>
      <c r="B40" s="42" t="str">
        <f aca="false">IF(A40="","",Settings!B7)</f>
        <v>Art</v>
      </c>
      <c r="C40" s="72" t="n">
        <f aca="false">IF(A40="","",Settings!D7)</f>
        <v>1</v>
      </c>
      <c r="D40" s="79" t="n">
        <f aca="false">IF($A40="","",IF(N(D30)=0,IF(N(D10)&gt;0,"No capacity",""),D10/D30))</f>
        <v>0.750487329434698</v>
      </c>
      <c r="E40" s="79" t="n">
        <f aca="false">IF($A40="","",IF(N(E30)=0,IF(N(E10)&gt;0,"No capacity",""),E10/E30))</f>
        <v>0.750487329434698</v>
      </c>
      <c r="F40" s="79" t="n">
        <f aca="false">IF($A40="","",IF(N(F30)=0,IF(N(F10)&gt;0,"No capacity",""),F10/F30))</f>
        <v>0.837889074098911</v>
      </c>
      <c r="G40" s="79" t="n">
        <f aca="false">IF($A40="","",IF(N(G30)=0,IF(N(G10)&gt;0,"No capacity",""),G10/G30))</f>
        <v>0.925290818763124</v>
      </c>
      <c r="H40" s="79" t="n">
        <f aca="false">IF($A40="","",IF(N(H30)=0,IF(N(H10)&gt;0,"No capacity",""),H10/H30))</f>
        <v>0.803339599250928</v>
      </c>
      <c r="I40" s="79" t="n">
        <f aca="false">IF($A40="","",IF(N(I30)=0,IF(N(I10)&gt;0,"No capacity",""),I10/I30))</f>
        <v>0.681388379738733</v>
      </c>
      <c r="J40" s="79" t="n">
        <f aca="false">IF($A40="","",IF(N(J30)=0,IF(N(J10)&gt;0,"No capacity",""),J10/J30))</f>
        <v>0.731513693021941</v>
      </c>
      <c r="K40" s="79" t="n">
        <f aca="false">IF($A40="","",IF(N(K30)=0,IF(N(K10)&gt;0,"No capacity",""),K10/K30))</f>
        <v>0.789613487963842</v>
      </c>
      <c r="L40" s="79" t="n">
        <f aca="false">IF($A40="","",IF(N(L30)=0,IF(N(L10)&gt;0,"No capacity",""),L10/L30))</f>
        <v>0.790106168875936</v>
      </c>
      <c r="M40" s="79" t="n">
        <f aca="false">IF($A40="","",IF(N(M30)=0,IF(N(M10)&gt;0,"No capacity",""),M10/M30))</f>
        <v>0.637765912365455</v>
      </c>
      <c r="N40" s="79" t="n">
        <f aca="false">IF($A40="","",IF(N(N30)=0,IF(N(N10)&gt;0,"No capacity",""),N10/N30))</f>
        <v>0.637765912365455</v>
      </c>
      <c r="O40" s="79" t="n">
        <f aca="false">IF($A40="","",IF(N(O30)=0,IF(N(O10)&gt;0,"No capacity",""),O10/O30))</f>
        <v>0.303698053507359</v>
      </c>
      <c r="P40" s="79" t="n">
        <f aca="false">IF($A40="","",IF(N(P30)=0,IF(N(P10)&gt;0,"No capacity",""),P10/P30))</f>
        <v>0.720338983050847</v>
      </c>
    </row>
    <row r="41" customFormat="false" ht="15" hidden="false" customHeight="true" outlineLevel="0" collapsed="false">
      <c r="A41" s="64" t="str">
        <f aca="false">IF(Settings!A8="","",Settings!A8)</f>
        <v>Noé</v>
      </c>
      <c r="B41" s="42" t="str">
        <f aca="false">IF(A41="","",Settings!B8)</f>
        <v>Design and production</v>
      </c>
      <c r="C41" s="72" t="n">
        <f aca="false">IF(A41="","",Settings!D8)</f>
        <v>0.8</v>
      </c>
      <c r="D41" s="79" t="n">
        <f aca="false">IF($A41="","",IF(N(D31)=0,IF(N(D11)&gt;0,"No capacity",""),D11/D31))</f>
        <v>0.878715886939571</v>
      </c>
      <c r="E41" s="79" t="n">
        <f aca="false">IF($A41="","",IF(N(E31)=0,IF(N(E11)&gt;0,"No capacity",""),E11/E31))</f>
        <v>0.878715886939571</v>
      </c>
      <c r="F41" s="79" t="n">
        <f aca="false">IF($A41="","",IF(N(F31)=0,IF(N(F11)&gt;0,"No capacity",""),F11/F31))</f>
        <v>0.839484326247099</v>
      </c>
      <c r="G41" s="79" t="n">
        <f aca="false">IF($A41="","",IF(N(G31)=0,IF(N(G11)&gt;0,"No capacity",""),G11/G31))</f>
        <v>0.800252765554626</v>
      </c>
      <c r="H41" s="79" t="n">
        <f aca="false">IF($A41="","",IF(N(H31)=0,IF(N(H11)&gt;0,"No capacity",""),H11/H31))</f>
        <v>0.749439757424545</v>
      </c>
      <c r="I41" s="79" t="n">
        <f aca="false">IF($A41="","",IF(N(I31)=0,IF(N(I11)&gt;0,"No capacity",""),I11/I31))</f>
        <v>0.788194281255292</v>
      </c>
      <c r="J41" s="79" t="n">
        <f aca="false">IF($A41="","",IF(N(J31)=0,IF(N(J11)&gt;0,"No capacity",""),J11/J31))</f>
        <v>0.928367768509167</v>
      </c>
      <c r="K41" s="79" t="n">
        <f aca="false">IF($A41="","",IF(N(K31)=0,IF(N(K11)&gt;0,"No capacity",""),K11/K31))</f>
        <v>1.19465849532621</v>
      </c>
      <c r="L41" s="79" t="n">
        <f aca="false">IF($A41="","",IF(N(L31)=0,IF(N(L11)&gt;0,"No capacity",""),L11/L31))</f>
        <v>0.693133168200623</v>
      </c>
      <c r="M41" s="79" t="n">
        <f aca="false">IF($A41="","",IF(N(M31)=0,IF(N(M11)&gt;0,"No capacity",""),M11/M31))</f>
        <v>0.640944147809136</v>
      </c>
      <c r="N41" s="79" t="n">
        <f aca="false">IF($A41="","",IF(N(N31)=0,IF(N(N11)&gt;0,"No capacity",""),N11/N31))</f>
        <v>0.640944147809136</v>
      </c>
      <c r="O41" s="79" t="n">
        <f aca="false">IF($A41="","",IF(N(O31)=0,IF(N(O11)&gt;0,"No capacity",""),O11/O31))</f>
        <v>0.305211498956732</v>
      </c>
      <c r="P41" s="79" t="n">
        <f aca="false">IF($A41="","",IF(N(P31)=0,IF(N(P11)&gt;0,"No capacity",""),P11/P31))</f>
        <v>0.781066478740897</v>
      </c>
    </row>
    <row r="42" customFormat="false" ht="15" hidden="false" customHeight="true" outlineLevel="0" collapsed="false">
      <c r="A42" s="64" t="str">
        <f aca="false">IF(Settings!A9="","",Settings!A9)</f>
        <v/>
      </c>
      <c r="B42" s="42" t="str">
        <f aca="false">IF(A42="","",Settings!B9)</f>
        <v/>
      </c>
      <c r="C42" s="72" t="str">
        <f aca="false">IF(A42="","",Settings!D9)</f>
        <v/>
      </c>
      <c r="D42" s="79" t="str">
        <f aca="false">IF($A42="","",IF(N(D32)=0,IF(N(D12)&gt;0,"No capacity",""),D12/D32))</f>
        <v/>
      </c>
      <c r="E42" s="79" t="str">
        <f aca="false">IF($A42="","",IF(N(E32)=0,IF(N(E12)&gt;0,"No capacity",""),E12/E32))</f>
        <v/>
      </c>
      <c r="F42" s="79" t="str">
        <f aca="false">IF($A42="","",IF(N(F32)=0,IF(N(F12)&gt;0,"No capacity",""),F12/F32))</f>
        <v/>
      </c>
      <c r="G42" s="79" t="str">
        <f aca="false">IF($A42="","",IF(N(G32)=0,IF(N(G12)&gt;0,"No capacity",""),G12/G32))</f>
        <v/>
      </c>
      <c r="H42" s="79" t="str">
        <f aca="false">IF($A42="","",IF(N(H32)=0,IF(N(H12)&gt;0,"No capacity",""),H12/H32))</f>
        <v/>
      </c>
      <c r="I42" s="79" t="str">
        <f aca="false">IF($A42="","",IF(N(I32)=0,IF(N(I12)&gt;0,"No capacity",""),I12/I32))</f>
        <v/>
      </c>
      <c r="J42" s="79" t="str">
        <f aca="false">IF($A42="","",IF(N(J32)=0,IF(N(J12)&gt;0,"No capacity",""),J12/J32))</f>
        <v/>
      </c>
      <c r="K42" s="79" t="str">
        <f aca="false">IF($A42="","",IF(N(K32)=0,IF(N(K12)&gt;0,"No capacity",""),K12/K32))</f>
        <v/>
      </c>
      <c r="L42" s="79" t="str">
        <f aca="false">IF($A42="","",IF(N(L32)=0,IF(N(L12)&gt;0,"No capacity",""),L12/L32))</f>
        <v/>
      </c>
      <c r="M42" s="79" t="str">
        <f aca="false">IF($A42="","",IF(N(M32)=0,IF(N(M12)&gt;0,"No capacity",""),M12/M32))</f>
        <v/>
      </c>
      <c r="N42" s="79" t="str">
        <f aca="false">IF($A42="","",IF(N(N32)=0,IF(N(N12)&gt;0,"No capacity",""),N12/N32))</f>
        <v/>
      </c>
      <c r="O42" s="79" t="str">
        <f aca="false">IF($A42="","",IF(N(O32)=0,IF(N(O12)&gt;0,"No capacity",""),O12/O32))</f>
        <v/>
      </c>
      <c r="P42" s="79" t="str">
        <f aca="false">IF($A42="","",IF(N(P32)=0,IF(N(P12)&gt;0,"No capacity",""),P12/P32))</f>
        <v/>
      </c>
    </row>
    <row r="43" customFormat="false" ht="15" hidden="false" customHeight="true" outlineLevel="0" collapsed="false">
      <c r="A43" s="64" t="str">
        <f aca="false">IF(Settings!A10="","",Settings!A10)</f>
        <v/>
      </c>
      <c r="B43" s="42" t="str">
        <f aca="false">IF(A43="","",Settings!B10)</f>
        <v/>
      </c>
      <c r="C43" s="72" t="str">
        <f aca="false">IF(A43="","",Settings!D10)</f>
        <v/>
      </c>
      <c r="D43" s="79" t="str">
        <f aca="false">IF($A43="","",IF(N(D33)=0,IF(N(D13)&gt;0,"No capacity",""),D13/D33))</f>
        <v/>
      </c>
      <c r="E43" s="79" t="str">
        <f aca="false">IF($A43="","",IF(N(E33)=0,IF(N(E13)&gt;0,"No capacity",""),E13/E33))</f>
        <v/>
      </c>
      <c r="F43" s="79" t="str">
        <f aca="false">IF($A43="","",IF(N(F33)=0,IF(N(F13)&gt;0,"No capacity",""),F13/F33))</f>
        <v/>
      </c>
      <c r="G43" s="79" t="str">
        <f aca="false">IF($A43="","",IF(N(G33)=0,IF(N(G13)&gt;0,"No capacity",""),G13/G33))</f>
        <v/>
      </c>
      <c r="H43" s="79" t="str">
        <f aca="false">IF($A43="","",IF(N(H33)=0,IF(N(H13)&gt;0,"No capacity",""),H13/H33))</f>
        <v/>
      </c>
      <c r="I43" s="79" t="str">
        <f aca="false">IF($A43="","",IF(N(I33)=0,IF(N(I13)&gt;0,"No capacity",""),I13/I33))</f>
        <v/>
      </c>
      <c r="J43" s="79" t="str">
        <f aca="false">IF($A43="","",IF(N(J33)=0,IF(N(J13)&gt;0,"No capacity",""),J13/J33))</f>
        <v/>
      </c>
      <c r="K43" s="79" t="str">
        <f aca="false">IF($A43="","",IF(N(K33)=0,IF(N(K13)&gt;0,"No capacity",""),K13/K33))</f>
        <v/>
      </c>
      <c r="L43" s="79" t="str">
        <f aca="false">IF($A43="","",IF(N(L33)=0,IF(N(L13)&gt;0,"No capacity",""),L13/L33))</f>
        <v/>
      </c>
      <c r="M43" s="79" t="str">
        <f aca="false">IF($A43="","",IF(N(M33)=0,IF(N(M13)&gt;0,"No capacity",""),M13/M33))</f>
        <v/>
      </c>
      <c r="N43" s="79" t="str">
        <f aca="false">IF($A43="","",IF(N(N33)=0,IF(N(N13)&gt;0,"No capacity",""),N13/N33))</f>
        <v/>
      </c>
      <c r="O43" s="79" t="str">
        <f aca="false">IF($A43="","",IF(N(O33)=0,IF(N(O13)&gt;0,"No capacity",""),O13/O33))</f>
        <v/>
      </c>
      <c r="P43" s="79" t="str">
        <f aca="false">IF($A43="","",IF(N(P33)=0,IF(N(P13)&gt;0,"No capacity",""),P13/P33))</f>
        <v/>
      </c>
    </row>
    <row r="44" customFormat="false" ht="15" hidden="false" customHeight="true" outlineLevel="0" collapsed="false">
      <c r="A44" s="64" t="str">
        <f aca="false">IF(Settings!A11="","",Settings!A11)</f>
        <v/>
      </c>
      <c r="B44" s="42" t="str">
        <f aca="false">IF(A44="","",Settings!B11)</f>
        <v/>
      </c>
      <c r="C44" s="72" t="str">
        <f aca="false">IF(A44="","",Settings!D11)</f>
        <v/>
      </c>
      <c r="D44" s="79" t="str">
        <f aca="false">IF($A44="","",IF(N(D34)=0,IF(N(D14)&gt;0,"No capacity",""),D14/D34))</f>
        <v/>
      </c>
      <c r="E44" s="79" t="str">
        <f aca="false">IF($A44="","",IF(N(E34)=0,IF(N(E14)&gt;0,"No capacity",""),E14/E34))</f>
        <v/>
      </c>
      <c r="F44" s="79" t="str">
        <f aca="false">IF($A44="","",IF(N(F34)=0,IF(N(F14)&gt;0,"No capacity",""),F14/F34))</f>
        <v/>
      </c>
      <c r="G44" s="79" t="str">
        <f aca="false">IF($A44="","",IF(N(G34)=0,IF(N(G14)&gt;0,"No capacity",""),G14/G34))</f>
        <v/>
      </c>
      <c r="H44" s="79" t="str">
        <f aca="false">IF($A44="","",IF(N(H34)=0,IF(N(H14)&gt;0,"No capacity",""),H14/H34))</f>
        <v/>
      </c>
      <c r="I44" s="79" t="str">
        <f aca="false">IF($A44="","",IF(N(I34)=0,IF(N(I14)&gt;0,"No capacity",""),I14/I34))</f>
        <v/>
      </c>
      <c r="J44" s="79" t="str">
        <f aca="false">IF($A44="","",IF(N(J34)=0,IF(N(J14)&gt;0,"No capacity",""),J14/J34))</f>
        <v/>
      </c>
      <c r="K44" s="79" t="str">
        <f aca="false">IF($A44="","",IF(N(K34)=0,IF(N(K14)&gt;0,"No capacity",""),K14/K34))</f>
        <v/>
      </c>
      <c r="L44" s="79" t="str">
        <f aca="false">IF($A44="","",IF(N(L34)=0,IF(N(L14)&gt;0,"No capacity",""),L14/L34))</f>
        <v/>
      </c>
      <c r="M44" s="79" t="str">
        <f aca="false">IF($A44="","",IF(N(M34)=0,IF(N(M14)&gt;0,"No capacity",""),M14/M34))</f>
        <v/>
      </c>
      <c r="N44" s="79" t="str">
        <f aca="false">IF($A44="","",IF(N(N34)=0,IF(N(N14)&gt;0,"No capacity",""),N14/N34))</f>
        <v/>
      </c>
      <c r="O44" s="79" t="str">
        <f aca="false">IF($A44="","",IF(N(O34)=0,IF(N(O14)&gt;0,"No capacity",""),O14/O34))</f>
        <v/>
      </c>
      <c r="P44" s="79" t="str">
        <f aca="false">IF($A44="","",IF(N(P34)=0,IF(N(P14)&gt;0,"No capacity",""),P14/P34))</f>
        <v/>
      </c>
    </row>
    <row r="45" customFormat="false" ht="15" hidden="false" customHeight="true" outlineLevel="0" collapsed="false">
      <c r="A45" s="34" t="s">
        <v>374</v>
      </c>
    </row>
    <row r="47" customFormat="false" ht="15" hidden="false" customHeight="true" outlineLevel="0" collapsed="false">
      <c r="A47" s="21" t="s">
        <v>375</v>
      </c>
    </row>
    <row r="48" customFormat="false" ht="15" hidden="false" customHeight="true" outlineLevel="0" collapsed="false">
      <c r="A48" s="22"/>
      <c r="B48" s="22"/>
      <c r="C48" s="22"/>
      <c r="D48" s="70" t="n">
        <f aca="false">D$4</f>
        <v>46327</v>
      </c>
      <c r="E48" s="70" t="n">
        <f aca="false">E$4</f>
        <v>46357</v>
      </c>
      <c r="F48" s="70" t="n">
        <f aca="false">F$4</f>
        <v>46388</v>
      </c>
      <c r="G48" s="70" t="n">
        <f aca="false">G$4</f>
        <v>46419</v>
      </c>
      <c r="H48" s="70" t="n">
        <f aca="false">H$4</f>
        <v>46447</v>
      </c>
      <c r="I48" s="70" t="n">
        <f aca="false">I$4</f>
        <v>46478</v>
      </c>
      <c r="J48" s="70" t="n">
        <f aca="false">J$4</f>
        <v>46508</v>
      </c>
      <c r="K48" s="70" t="n">
        <f aca="false">K$4</f>
        <v>46539</v>
      </c>
      <c r="L48" s="70" t="n">
        <f aca="false">L$4</f>
        <v>46569</v>
      </c>
      <c r="M48" s="70" t="n">
        <f aca="false">M$4</f>
        <v>46600</v>
      </c>
      <c r="N48" s="70" t="n">
        <f aca="false">N$4</f>
        <v>46631</v>
      </c>
      <c r="O48" s="70" t="n">
        <f aca="false">O$4</f>
        <v>46661</v>
      </c>
      <c r="P48" s="22" t="s">
        <v>364</v>
      </c>
    </row>
    <row r="49" customFormat="false" ht="15" hidden="false" customHeight="true" outlineLevel="0" collapsed="false">
      <c r="A49" s="42" t="s">
        <v>376</v>
      </c>
      <c r="D49" s="47" t="n">
        <f aca="false">D15</f>
        <v>41.2872807017544</v>
      </c>
      <c r="E49" s="47" t="n">
        <f aca="false">E15</f>
        <v>37.1585526315789</v>
      </c>
      <c r="F49" s="47" t="n">
        <f aca="false">F15</f>
        <v>41.5987492735297</v>
      </c>
      <c r="G49" s="47" t="n">
        <f aca="false">G15</f>
        <v>41.9102178453049</v>
      </c>
      <c r="H49" s="47" t="n">
        <f aca="false">H15</f>
        <v>42.8817274347135</v>
      </c>
      <c r="I49" s="47" t="n">
        <f aca="false">I15</f>
        <v>39.6622152395915</v>
      </c>
      <c r="J49" s="47" t="n">
        <f aca="false">J15</f>
        <v>41.682302771855</v>
      </c>
      <c r="K49" s="47" t="n">
        <f aca="false">K15</f>
        <v>58.2336438110201</v>
      </c>
      <c r="L49" s="47" t="n">
        <f aca="false">L15</f>
        <v>37.6855391236039</v>
      </c>
      <c r="M49" s="47" t="n">
        <f aca="false">M15</f>
        <v>20.5908466819222</v>
      </c>
      <c r="N49" s="47" t="n">
        <f aca="false">N15</f>
        <v>37.749885583524</v>
      </c>
      <c r="O49" s="47" t="n">
        <f aca="false">O15</f>
        <v>17.1590389016018</v>
      </c>
      <c r="P49" s="47" t="n">
        <f aca="false">P15</f>
        <v>457.6</v>
      </c>
    </row>
    <row r="50" customFormat="false" ht="15" hidden="false" customHeight="true" outlineLevel="0" collapsed="false">
      <c r="A50" s="42" t="str">
        <f aca="false">"Coordination ("&amp;ROUND(Pilotage*100,0)&amp;"%)"</f>
        <v>Coordination (15%)</v>
      </c>
      <c r="D50" s="47" t="n">
        <f aca="false">D49*Pilotage</f>
        <v>6.19309210526316</v>
      </c>
      <c r="E50" s="47" t="n">
        <f aca="false">E49*Pilotage</f>
        <v>5.57378289473684</v>
      </c>
      <c r="F50" s="47" t="n">
        <f aca="false">F49*Pilotage</f>
        <v>6.23981239102945</v>
      </c>
      <c r="G50" s="47" t="n">
        <f aca="false">G49*Pilotage</f>
        <v>6.28653267679574</v>
      </c>
      <c r="H50" s="47" t="n">
        <f aca="false">H49*Pilotage</f>
        <v>6.43225911520702</v>
      </c>
      <c r="I50" s="47" t="n">
        <f aca="false">I49*Pilotage</f>
        <v>5.94933228593873</v>
      </c>
      <c r="J50" s="47" t="n">
        <f aca="false">J49*Pilotage</f>
        <v>6.25234541577825</v>
      </c>
      <c r="K50" s="47" t="n">
        <f aca="false">K49*Pilotage</f>
        <v>8.73504657165301</v>
      </c>
      <c r="L50" s="47" t="n">
        <f aca="false">L49*Pilotage</f>
        <v>5.65283086854059</v>
      </c>
      <c r="M50" s="47" t="n">
        <f aca="false">M49*Pilotage</f>
        <v>3.08862700228833</v>
      </c>
      <c r="N50" s="47" t="n">
        <f aca="false">N49*Pilotage</f>
        <v>5.6624828375286</v>
      </c>
      <c r="O50" s="47" t="n">
        <f aca="false">O49*Pilotage</f>
        <v>2.57385583524027</v>
      </c>
      <c r="P50" s="47" t="n">
        <f aca="false">P49*Pilotage</f>
        <v>68.64</v>
      </c>
    </row>
    <row r="51" customFormat="false" ht="15" hidden="false" customHeight="true" outlineLevel="0" collapsed="false">
      <c r="A51" s="51" t="s">
        <v>377</v>
      </c>
      <c r="D51" s="75" t="n">
        <f aca="false">D49+D50</f>
        <v>47.4803728070175</v>
      </c>
      <c r="E51" s="75" t="n">
        <f aca="false">E49+E50</f>
        <v>42.7323355263158</v>
      </c>
      <c r="F51" s="75" t="n">
        <f aca="false">F49+F50</f>
        <v>47.8385616645591</v>
      </c>
      <c r="G51" s="75" t="n">
        <f aca="false">G49+G50</f>
        <v>48.1967505221007</v>
      </c>
      <c r="H51" s="75" t="n">
        <f aca="false">H49+H50</f>
        <v>49.3139865499205</v>
      </c>
      <c r="I51" s="75" t="n">
        <f aca="false">I49+I50</f>
        <v>45.6115475255303</v>
      </c>
      <c r="J51" s="75" t="n">
        <f aca="false">J49+J50</f>
        <v>47.9346481876333</v>
      </c>
      <c r="K51" s="75" t="n">
        <f aca="false">K49+K50</f>
        <v>66.9686903826731</v>
      </c>
      <c r="L51" s="75" t="n">
        <f aca="false">L49+L50</f>
        <v>43.3383699921445</v>
      </c>
      <c r="M51" s="75" t="n">
        <f aca="false">M49+M50</f>
        <v>23.6794736842105</v>
      </c>
      <c r="N51" s="75" t="n">
        <f aca="false">N49+N50</f>
        <v>43.4123684210526</v>
      </c>
      <c r="O51" s="75" t="n">
        <f aca="false">O49+O50</f>
        <v>19.7328947368421</v>
      </c>
      <c r="P51" s="75" t="n">
        <f aca="false">P49+P50</f>
        <v>526.24</v>
      </c>
    </row>
    <row r="52" customFormat="false" ht="15" hidden="false" customHeight="true" outlineLevel="0" collapsed="false">
      <c r="A52" s="42" t="s">
        <v>378</v>
      </c>
      <c r="D52" s="47" t="n">
        <f aca="false">D35</f>
        <v>50.4</v>
      </c>
      <c r="E52" s="47" t="n">
        <f aca="false">E35</f>
        <v>45.36</v>
      </c>
      <c r="F52" s="47" t="n">
        <f aca="false">F35</f>
        <v>50.4</v>
      </c>
      <c r="G52" s="47" t="n">
        <f aca="false">G35</f>
        <v>50.4</v>
      </c>
      <c r="H52" s="47" t="n">
        <f aca="false">H35</f>
        <v>55.44</v>
      </c>
      <c r="I52" s="47" t="n">
        <f aca="false">I35</f>
        <v>53.64</v>
      </c>
      <c r="J52" s="47" t="n">
        <f aca="false">J35</f>
        <v>47.88</v>
      </c>
      <c r="K52" s="47" t="n">
        <f aca="false">K35</f>
        <v>55.44</v>
      </c>
      <c r="L52" s="47" t="n">
        <f aca="false">L35</f>
        <v>50.22</v>
      </c>
      <c r="M52" s="47" t="n">
        <f aca="false">M35</f>
        <v>30.24</v>
      </c>
      <c r="N52" s="47" t="n">
        <f aca="false">N35</f>
        <v>52.74</v>
      </c>
      <c r="O52" s="47" t="n">
        <f aca="false">O35</f>
        <v>52.92</v>
      </c>
      <c r="P52" s="47" t="n">
        <f aca="false">P35</f>
        <v>595.08</v>
      </c>
    </row>
    <row r="53" customFormat="false" ht="15" hidden="false" customHeight="true" outlineLevel="0" collapsed="false">
      <c r="A53" s="51" t="s">
        <v>379</v>
      </c>
      <c r="D53" s="56" t="n">
        <f aca="false">IF(N(D52)=0,"",D51/D52)</f>
        <v>0.942070889028126</v>
      </c>
      <c r="E53" s="56" t="n">
        <f aca="false">IF(N(E52)=0,"",E51/E52)</f>
        <v>0.942070889028126</v>
      </c>
      <c r="F53" s="56" t="n">
        <f aca="false">IF(N(F52)=0,"",F51/F52)</f>
        <v>0.949177810804744</v>
      </c>
      <c r="G53" s="56" t="n">
        <f aca="false">IF(N(G52)=0,"",G51/G52)</f>
        <v>0.956284732581362</v>
      </c>
      <c r="H53" s="56" t="n">
        <f aca="false">IF(N(H52)=0,"",H51/H52)</f>
        <v>0.889501921896113</v>
      </c>
      <c r="I53" s="56" t="n">
        <f aca="false">IF(N(I52)=0,"",I51/I52)</f>
        <v>0.850327135076999</v>
      </c>
      <c r="J53" s="56" t="n">
        <f aca="false">IF(N(J52)=0,"",J51/J52)</f>
        <v>1.00114135730228</v>
      </c>
      <c r="K53" s="56" t="n">
        <f aca="false">IF(N(K52)=0,"",K51/K52)</f>
        <v>1.20794896072643</v>
      </c>
      <c r="L53" s="56" t="n">
        <f aca="false">IF(N(L52)=0,"",L51/L52)</f>
        <v>0.862970330389178</v>
      </c>
      <c r="M53" s="56" t="n">
        <f aca="false">IF(N(M52)=0,"",M51/M52)</f>
        <v>0.783051378446115</v>
      </c>
      <c r="N53" s="56" t="n">
        <f aca="false">IF(N(N52)=0,"",N51/N52)</f>
        <v>0.823139332974073</v>
      </c>
      <c r="O53" s="56" t="n">
        <f aca="false">IF(N(O52)=0,"",O51/O52)</f>
        <v>0.372881608783864</v>
      </c>
      <c r="P53" s="56" t="n">
        <f aca="false">IF(N(P52)=0,"",P51/P52)</f>
        <v>0.884318074880688</v>
      </c>
    </row>
    <row r="54" customFormat="false" ht="15" hidden="false" customHeight="true" outlineLevel="0" collapsed="false">
      <c r="A54" s="42" t="s">
        <v>380</v>
      </c>
      <c r="D54" s="73" t="n">
        <f aca="false">D52-D51</f>
        <v>2.91962719298246</v>
      </c>
      <c r="E54" s="73" t="n">
        <f aca="false">E52-E51</f>
        <v>2.62766447368421</v>
      </c>
      <c r="F54" s="73" t="n">
        <f aca="false">F52-F51</f>
        <v>2.5614383354409</v>
      </c>
      <c r="G54" s="73" t="n">
        <f aca="false">G52-G51</f>
        <v>2.20324947789933</v>
      </c>
      <c r="H54" s="73" t="n">
        <f aca="false">H52-H51</f>
        <v>6.12601345007952</v>
      </c>
      <c r="I54" s="73" t="n">
        <f aca="false">I52-I51</f>
        <v>8.02845247446975</v>
      </c>
      <c r="J54" s="73" t="n">
        <f aca="false">J52-J51</f>
        <v>-0.054648187633255</v>
      </c>
      <c r="K54" s="73" t="n">
        <f aca="false">K52-K51</f>
        <v>-11.5286903826731</v>
      </c>
      <c r="L54" s="73" t="n">
        <f aca="false">L52-L51</f>
        <v>6.88163000785546</v>
      </c>
      <c r="M54" s="73" t="n">
        <f aca="false">M52-M51</f>
        <v>6.56052631578948</v>
      </c>
      <c r="N54" s="73" t="n">
        <f aca="false">N52-N51</f>
        <v>9.32763157894738</v>
      </c>
      <c r="O54" s="73" t="n">
        <f aca="false">O52-O51</f>
        <v>33.1871052631579</v>
      </c>
      <c r="P54" s="73" t="n">
        <f aca="false">P52-P51</f>
        <v>68.84</v>
      </c>
    </row>
    <row r="55" customFormat="false" ht="15" hidden="false" customHeight="true" outlineLevel="0" collapsed="false">
      <c r="A55" s="34" t="s">
        <v>381</v>
      </c>
    </row>
    <row r="57" customFormat="false" ht="15" hidden="false" customHeight="true" outlineLevel="0" collapsed="false">
      <c r="A57" s="21" t="s">
        <v>382</v>
      </c>
    </row>
    <row r="58" customFormat="false" ht="15" hidden="true" customHeight="true" outlineLevel="1" collapsed="false">
      <c r="A58" s="22" t="s">
        <v>383</v>
      </c>
      <c r="B58" s="22" t="s">
        <v>330</v>
      </c>
      <c r="C58" s="22" t="s">
        <v>331</v>
      </c>
      <c r="D58" s="70" t="n">
        <f aca="false">D$4</f>
        <v>46327</v>
      </c>
      <c r="E58" s="70" t="n">
        <f aca="false">E$4</f>
        <v>46357</v>
      </c>
      <c r="F58" s="70" t="n">
        <f aca="false">F$4</f>
        <v>46388</v>
      </c>
      <c r="G58" s="70" t="n">
        <f aca="false">G$4</f>
        <v>46419</v>
      </c>
      <c r="H58" s="70" t="n">
        <f aca="false">H$4</f>
        <v>46447</v>
      </c>
      <c r="I58" s="70" t="n">
        <f aca="false">I$4</f>
        <v>46478</v>
      </c>
      <c r="J58" s="70" t="n">
        <f aca="false">J$4</f>
        <v>46508</v>
      </c>
      <c r="K58" s="70" t="n">
        <f aca="false">K$4</f>
        <v>46539</v>
      </c>
      <c r="L58" s="70" t="n">
        <f aca="false">L$4</f>
        <v>46569</v>
      </c>
      <c r="M58" s="70" t="n">
        <f aca="false">M$4</f>
        <v>46600</v>
      </c>
      <c r="N58" s="70" t="n">
        <f aca="false">N$4</f>
        <v>46631</v>
      </c>
      <c r="O58" s="70" t="n">
        <f aca="false">O$4</f>
        <v>46661</v>
      </c>
      <c r="P58" s="22" t="s">
        <v>364</v>
      </c>
    </row>
    <row r="59" customFormat="false" ht="15" hidden="true" customHeight="true" outlineLevel="1" collapsed="false">
      <c r="A59" s="42" t="str">
        <f aca="false">IF(Schedule!A7="","",Schedule!A7)</f>
        <v>Prototype</v>
      </c>
      <c r="B59" s="65" t="n">
        <f aca="false">IF(Schedule!D7="","",Schedule!D7)</f>
        <v>46327</v>
      </c>
      <c r="C59" s="65" t="n">
        <f aca="false">IF(Schedule!E7="","",Schedule!E7)</f>
        <v>46402</v>
      </c>
      <c r="D59" s="80" t="n">
        <f aca="false">IF(OR($A59="",N(Schedule!$G7)=0),0,MAX(0,NETWORKDAYS(MAX($B59,D$4),MIN($C59,EOMONTH(D$4,0)),Feries))/Schedule!$G7)</f>
        <v>0.416666666666667</v>
      </c>
      <c r="E59" s="80" t="n">
        <f aca="false">IF(OR($A59="",N(Schedule!$G7)=0),0,MAX(0,NETWORKDAYS(MAX($B59,E$4),MIN($C59,EOMONTH(E$4,0)),Feries))/Schedule!$G7)</f>
        <v>0.375</v>
      </c>
      <c r="F59" s="80" t="n">
        <f aca="false">IF(OR($A59="",N(Schedule!$G7)=0),0,MAX(0,NETWORKDAYS(MAX($B59,F$4),MIN($C59,EOMONTH(F$4,0)),Feries))/Schedule!$G7)</f>
        <v>0.208333333333333</v>
      </c>
      <c r="G59" s="80" t="n">
        <f aca="false">IF(OR($A59="",N(Schedule!$G7)=0),0,MAX(0,NETWORKDAYS(MAX($B59,G$4),MIN($C59,EOMONTH(G$4,0)),Feries))/Schedule!$G7)</f>
        <v>0</v>
      </c>
      <c r="H59" s="80" t="n">
        <f aca="false">IF(OR($A59="",N(Schedule!$G7)=0),0,MAX(0,NETWORKDAYS(MAX($B59,H$4),MIN($C59,EOMONTH(H$4,0)),Feries))/Schedule!$G7)</f>
        <v>0</v>
      </c>
      <c r="I59" s="80" t="n">
        <f aca="false">IF(OR($A59="",N(Schedule!$G7)=0),0,MAX(0,NETWORKDAYS(MAX($B59,I$4),MIN($C59,EOMONTH(I$4,0)),Feries))/Schedule!$G7)</f>
        <v>0</v>
      </c>
      <c r="J59" s="80" t="n">
        <f aca="false">IF(OR($A59="",N(Schedule!$G7)=0),0,MAX(0,NETWORKDAYS(MAX($B59,J$4),MIN($C59,EOMONTH(J$4,0)),Feries))/Schedule!$G7)</f>
        <v>0</v>
      </c>
      <c r="K59" s="80" t="n">
        <f aca="false">IF(OR($A59="",N(Schedule!$G7)=0),0,MAX(0,NETWORKDAYS(MAX($B59,K$4),MIN($C59,EOMONTH(K$4,0)),Feries))/Schedule!$G7)</f>
        <v>0</v>
      </c>
      <c r="L59" s="80" t="n">
        <f aca="false">IF(OR($A59="",N(Schedule!$G7)=0),0,MAX(0,NETWORKDAYS(MAX($B59,L$4),MIN($C59,EOMONTH(L$4,0)),Feries))/Schedule!$G7)</f>
        <v>0</v>
      </c>
      <c r="M59" s="80" t="n">
        <f aca="false">IF(OR($A59="",N(Schedule!$G7)=0),0,MAX(0,NETWORKDAYS(MAX($B59,M$4),MIN($C59,EOMONTH(M$4,0)),Feries))/Schedule!$G7)</f>
        <v>0</v>
      </c>
      <c r="N59" s="80" t="n">
        <f aca="false">IF(OR($A59="",N(Schedule!$G7)=0),0,MAX(0,NETWORKDAYS(MAX($B59,N$4),MIN($C59,EOMONTH(N$4,0)),Feries))/Schedule!$G7)</f>
        <v>0</v>
      </c>
      <c r="O59" s="80" t="n">
        <f aca="false">IF(OR($A59="",N(Schedule!$G7)=0),0,MAX(0,NETWORKDAYS(MAX($B59,O$4),MIN($C59,EOMONTH(O$4,0)),Feries))/Schedule!$G7)</f>
        <v>0</v>
      </c>
      <c r="P59" s="80" t="n">
        <f aca="false">SUM(D59:O59)</f>
        <v>1</v>
      </c>
    </row>
    <row r="60" customFormat="false" ht="15" hidden="true" customHeight="true" outlineLevel="1" collapsed="false">
      <c r="A60" s="42" t="str">
        <f aca="false">IF(Schedule!A8="","",Schedule!A8)</f>
        <v>Steam page</v>
      </c>
      <c r="B60" s="65" t="n">
        <f aca="false">IF(Schedule!D8="","",Schedule!D8)</f>
        <v>46405</v>
      </c>
      <c r="C60" s="65" t="n">
        <f aca="false">IF(Schedule!E8="","",Schedule!E8)</f>
        <v>46461</v>
      </c>
      <c r="D60" s="80" t="n">
        <f aca="false">IF(OR($A60="",N(Schedule!$G8)=0),0,MAX(0,NETWORKDAYS(MAX($B60,D$4),MIN($C60,EOMONTH(D$4,0)),Feries))/Schedule!$G8)</f>
        <v>0</v>
      </c>
      <c r="E60" s="80" t="n">
        <f aca="false">IF(OR($A60="",N(Schedule!$G8)=0),0,MAX(0,NETWORKDAYS(MAX($B60,E$4),MIN($C60,EOMONTH(E$4,0)),Feries))/Schedule!$G8)</f>
        <v>0</v>
      </c>
      <c r="F60" s="80" t="n">
        <f aca="false">IF(OR($A60="",N(Schedule!$G8)=0),0,MAX(0,NETWORKDAYS(MAX($B60,F$4),MIN($C60,EOMONTH(F$4,0)),Feries))/Schedule!$G8)</f>
        <v>0.24390243902439</v>
      </c>
      <c r="G60" s="80" t="n">
        <f aca="false">IF(OR($A60="",N(Schedule!$G8)=0),0,MAX(0,NETWORKDAYS(MAX($B60,G$4),MIN($C60,EOMONTH(G$4,0)),Feries))/Schedule!$G8)</f>
        <v>0.487804878048781</v>
      </c>
      <c r="H60" s="80" t="n">
        <f aca="false">IF(OR($A60="",N(Schedule!$G8)=0),0,MAX(0,NETWORKDAYS(MAX($B60,H$4),MIN($C60,EOMONTH(H$4,0)),Feries))/Schedule!$G8)</f>
        <v>0.268292682926829</v>
      </c>
      <c r="I60" s="80" t="n">
        <f aca="false">IF(OR($A60="",N(Schedule!$G8)=0),0,MAX(0,NETWORKDAYS(MAX($B60,I$4),MIN($C60,EOMONTH(I$4,0)),Feries))/Schedule!$G8)</f>
        <v>0</v>
      </c>
      <c r="J60" s="80" t="n">
        <f aca="false">IF(OR($A60="",N(Schedule!$G8)=0),0,MAX(0,NETWORKDAYS(MAX($B60,J$4),MIN($C60,EOMONTH(J$4,0)),Feries))/Schedule!$G8)</f>
        <v>0</v>
      </c>
      <c r="K60" s="80" t="n">
        <f aca="false">IF(OR($A60="",N(Schedule!$G8)=0),0,MAX(0,NETWORKDAYS(MAX($B60,K$4),MIN($C60,EOMONTH(K$4,0)),Feries))/Schedule!$G8)</f>
        <v>0</v>
      </c>
      <c r="L60" s="80" t="n">
        <f aca="false">IF(OR($A60="",N(Schedule!$G8)=0),0,MAX(0,NETWORKDAYS(MAX($B60,L$4),MIN($C60,EOMONTH(L$4,0)),Feries))/Schedule!$G8)</f>
        <v>0</v>
      </c>
      <c r="M60" s="80" t="n">
        <f aca="false">IF(OR($A60="",N(Schedule!$G8)=0),0,MAX(0,NETWORKDAYS(MAX($B60,M$4),MIN($C60,EOMONTH(M$4,0)),Feries))/Schedule!$G8)</f>
        <v>0</v>
      </c>
      <c r="N60" s="80" t="n">
        <f aca="false">IF(OR($A60="",N(Schedule!$G8)=0),0,MAX(0,NETWORKDAYS(MAX($B60,N$4),MIN($C60,EOMONTH(N$4,0)),Feries))/Schedule!$G8)</f>
        <v>0</v>
      </c>
      <c r="O60" s="80" t="n">
        <f aca="false">IF(OR($A60="",N(Schedule!$G8)=0),0,MAX(0,NETWORKDAYS(MAX($B60,O$4),MIN($C60,EOMONTH(O$4,0)),Feries))/Schedule!$G8)</f>
        <v>0</v>
      </c>
      <c r="P60" s="80" t="n">
        <f aca="false">SUM(D60:O60)</f>
        <v>1</v>
      </c>
    </row>
    <row r="61" customFormat="false" ht="15" hidden="true" customHeight="true" outlineLevel="1" collapsed="false">
      <c r="A61" s="42" t="str">
        <f aca="false">IF(Schedule!A9="","",Schedule!A9)</f>
        <v>Production</v>
      </c>
      <c r="B61" s="65" t="n">
        <f aca="false">IF(Schedule!D9="","",Schedule!D9)</f>
        <v>46405</v>
      </c>
      <c r="C61" s="65" t="n">
        <f aca="false">IF(Schedule!E9="","",Schedule!E9)</f>
        <v>46596</v>
      </c>
      <c r="D61" s="80" t="n">
        <f aca="false">IF(OR($A61="",N(Schedule!$G9)=0),0,MAX(0,NETWORKDAYS(MAX($B61,D$4),MIN($C61,EOMONTH(D$4,0)),Feries))/Schedule!$G9)</f>
        <v>0</v>
      </c>
      <c r="E61" s="80" t="n">
        <f aca="false">IF(OR($A61="",N(Schedule!$G9)=0),0,MAX(0,NETWORKDAYS(MAX($B61,E$4),MIN($C61,EOMONTH(E$4,0)),Feries))/Schedule!$G9)</f>
        <v>0</v>
      </c>
      <c r="F61" s="80" t="n">
        <f aca="false">IF(OR($A61="",N(Schedule!$G9)=0),0,MAX(0,NETWORKDAYS(MAX($B61,F$4),MIN($C61,EOMONTH(F$4,0)),Feries))/Schedule!$G9)</f>
        <v>0.0746268656716418</v>
      </c>
      <c r="G61" s="80" t="n">
        <f aca="false">IF(OR($A61="",N(Schedule!$G9)=0),0,MAX(0,NETWORKDAYS(MAX($B61,G$4),MIN($C61,EOMONTH(G$4,0)),Feries))/Schedule!$G9)</f>
        <v>0.149253731343284</v>
      </c>
      <c r="H61" s="80" t="n">
        <f aca="false">IF(OR($A61="",N(Schedule!$G9)=0),0,MAX(0,NETWORKDAYS(MAX($B61,H$4),MIN($C61,EOMONTH(H$4,0)),Feries))/Schedule!$G9)</f>
        <v>0.164179104477612</v>
      </c>
      <c r="I61" s="80" t="n">
        <f aca="false">IF(OR($A61="",N(Schedule!$G9)=0),0,MAX(0,NETWORKDAYS(MAX($B61,I$4),MIN($C61,EOMONTH(I$4,0)),Feries))/Schedule!$G9)</f>
        <v>0.164179104477612</v>
      </c>
      <c r="J61" s="80" t="n">
        <f aca="false">IF(OR($A61="",N(Schedule!$G9)=0),0,MAX(0,NETWORKDAYS(MAX($B61,J$4),MIN($C61,EOMONTH(J$4,0)),Feries))/Schedule!$G9)</f>
        <v>0.141791044776119</v>
      </c>
      <c r="K61" s="80" t="n">
        <f aca="false">IF(OR($A61="",N(Schedule!$G9)=0),0,MAX(0,NETWORKDAYS(MAX($B61,K$4),MIN($C61,EOMONTH(K$4,0)),Feries))/Schedule!$G9)</f>
        <v>0.164179104477612</v>
      </c>
      <c r="L61" s="80" t="n">
        <f aca="false">IF(OR($A61="",N(Schedule!$G9)=0),0,MAX(0,NETWORKDAYS(MAX($B61,L$4),MIN($C61,EOMONTH(L$4,0)),Feries))/Schedule!$G9)</f>
        <v>0.141791044776119</v>
      </c>
      <c r="M61" s="80" t="n">
        <f aca="false">IF(OR($A61="",N(Schedule!$G9)=0),0,MAX(0,NETWORKDAYS(MAX($B61,M$4),MIN($C61,EOMONTH(M$4,0)),Feries))/Schedule!$G9)</f>
        <v>0</v>
      </c>
      <c r="N61" s="80" t="n">
        <f aca="false">IF(OR($A61="",N(Schedule!$G9)=0),0,MAX(0,NETWORKDAYS(MAX($B61,N$4),MIN($C61,EOMONTH(N$4,0)),Feries))/Schedule!$G9)</f>
        <v>0</v>
      </c>
      <c r="O61" s="80" t="n">
        <f aca="false">IF(OR($A61="",N(Schedule!$G9)=0),0,MAX(0,NETWORKDAYS(MAX($B61,O$4),MIN($C61,EOMONTH(O$4,0)),Feries))/Schedule!$G9)</f>
        <v>0</v>
      </c>
      <c r="P61" s="80" t="n">
        <f aca="false">SUM(D61:O61)</f>
        <v>1</v>
      </c>
    </row>
    <row r="62" customFormat="false" ht="15" hidden="true" customHeight="true" outlineLevel="1" collapsed="false">
      <c r="A62" s="42" t="str">
        <f aca="false">IF(Schedule!A10="","",Schedule!A10)</f>
        <v>Next Fest demo</v>
      </c>
      <c r="B62" s="65" t="n">
        <f aca="false">IF(Schedule!D10="","",Schedule!D10)</f>
        <v>46531</v>
      </c>
      <c r="C62" s="65" t="n">
        <f aca="false">IF(Schedule!E10="","",Schedule!E10)</f>
        <v>46559</v>
      </c>
      <c r="D62" s="80" t="n">
        <f aca="false">IF(OR($A62="",N(Schedule!$G10)=0),0,MAX(0,NETWORKDAYS(MAX($B62,D$4),MIN($C62,EOMONTH(D$4,0)),Feries))/Schedule!$G10)</f>
        <v>0</v>
      </c>
      <c r="E62" s="80" t="n">
        <f aca="false">IF(OR($A62="",N(Schedule!$G10)=0),0,MAX(0,NETWORKDAYS(MAX($B62,E$4),MIN($C62,EOMONTH(E$4,0)),Feries))/Schedule!$G10)</f>
        <v>0</v>
      </c>
      <c r="F62" s="80" t="n">
        <f aca="false">IF(OR($A62="",N(Schedule!$G10)=0),0,MAX(0,NETWORKDAYS(MAX($B62,F$4),MIN($C62,EOMONTH(F$4,0)),Feries))/Schedule!$G10)</f>
        <v>0</v>
      </c>
      <c r="G62" s="80" t="n">
        <f aca="false">IF(OR($A62="",N(Schedule!$G10)=0),0,MAX(0,NETWORKDAYS(MAX($B62,G$4),MIN($C62,EOMONTH(G$4,0)),Feries))/Schedule!$G10)</f>
        <v>0</v>
      </c>
      <c r="H62" s="80" t="n">
        <f aca="false">IF(OR($A62="",N(Schedule!$G10)=0),0,MAX(0,NETWORKDAYS(MAX($B62,H$4),MIN($C62,EOMONTH(H$4,0)),Feries))/Schedule!$G10)</f>
        <v>0</v>
      </c>
      <c r="I62" s="80" t="n">
        <f aca="false">IF(OR($A62="",N(Schedule!$G10)=0),0,MAX(0,NETWORKDAYS(MAX($B62,I$4),MIN($C62,EOMONTH(I$4,0)),Feries))/Schedule!$G10)</f>
        <v>0</v>
      </c>
      <c r="J62" s="80" t="n">
        <f aca="false">IF(OR($A62="",N(Schedule!$G10)=0),0,MAX(0,NETWORKDAYS(MAX($B62,J$4),MIN($C62,EOMONTH(J$4,0)),Feries))/Schedule!$G10)</f>
        <v>0.285714285714286</v>
      </c>
      <c r="K62" s="80" t="n">
        <f aca="false">IF(OR($A62="",N(Schedule!$G10)=0),0,MAX(0,NETWORKDAYS(MAX($B62,K$4),MIN($C62,EOMONTH(K$4,0)),Feries))/Schedule!$G10)</f>
        <v>0.714285714285714</v>
      </c>
      <c r="L62" s="80" t="n">
        <f aca="false">IF(OR($A62="",N(Schedule!$G10)=0),0,MAX(0,NETWORKDAYS(MAX($B62,L$4),MIN($C62,EOMONTH(L$4,0)),Feries))/Schedule!$G10)</f>
        <v>0</v>
      </c>
      <c r="M62" s="80" t="n">
        <f aca="false">IF(OR($A62="",N(Schedule!$G10)=0),0,MAX(0,NETWORKDAYS(MAX($B62,M$4),MIN($C62,EOMONTH(M$4,0)),Feries))/Schedule!$G10)</f>
        <v>0</v>
      </c>
      <c r="N62" s="80" t="n">
        <f aca="false">IF(OR($A62="",N(Schedule!$G10)=0),0,MAX(0,NETWORKDAYS(MAX($B62,N$4),MIN($C62,EOMONTH(N$4,0)),Feries))/Schedule!$G10)</f>
        <v>0</v>
      </c>
      <c r="O62" s="80" t="n">
        <f aca="false">IF(OR($A62="",N(Schedule!$G10)=0),0,MAX(0,NETWORKDAYS(MAX($B62,O$4),MIN($C62,EOMONTH(O$4,0)),Feries))/Schedule!$G10)</f>
        <v>0</v>
      </c>
      <c r="P62" s="80" t="n">
        <f aca="false">SUM(D62:O62)</f>
        <v>1</v>
      </c>
    </row>
    <row r="63" customFormat="false" ht="15" hidden="true" customHeight="true" outlineLevel="1" collapsed="false">
      <c r="A63" s="42" t="str">
        <f aca="false">IF(Schedule!A11="","",Schedule!A11)</f>
        <v>Polish and release</v>
      </c>
      <c r="B63" s="65" t="n">
        <f aca="false">IF(Schedule!D11="","",Schedule!D11)</f>
        <v>46597</v>
      </c>
      <c r="C63" s="65" t="n">
        <f aca="false">IF(Schedule!E11="","",Schedule!E11)</f>
        <v>46674</v>
      </c>
      <c r="D63" s="80" t="n">
        <f aca="false">IF(OR($A63="",N(Schedule!$G11)=0),0,MAX(0,NETWORKDAYS(MAX($B63,D$4),MIN($C63,EOMONTH(D$4,0)),Feries))/Schedule!$G11)</f>
        <v>0</v>
      </c>
      <c r="E63" s="80" t="n">
        <f aca="false">IF(OR($A63="",N(Schedule!$G11)=0),0,MAX(0,NETWORKDAYS(MAX($B63,E$4),MIN($C63,EOMONTH(E$4,0)),Feries))/Schedule!$G11)</f>
        <v>0</v>
      </c>
      <c r="F63" s="80" t="n">
        <f aca="false">IF(OR($A63="",N(Schedule!$G11)=0),0,MAX(0,NETWORKDAYS(MAX($B63,F$4),MIN($C63,EOMONTH(F$4,0)),Feries))/Schedule!$G11)</f>
        <v>0</v>
      </c>
      <c r="G63" s="80" t="n">
        <f aca="false">IF(OR($A63="",N(Schedule!$G11)=0),0,MAX(0,NETWORKDAYS(MAX($B63,G$4),MIN($C63,EOMONTH(G$4,0)),Feries))/Schedule!$G11)</f>
        <v>0</v>
      </c>
      <c r="H63" s="80" t="n">
        <f aca="false">IF(OR($A63="",N(Schedule!$G11)=0),0,MAX(0,NETWORKDAYS(MAX($B63,H$4),MIN($C63,EOMONTH(H$4,0)),Feries))/Schedule!$G11)</f>
        <v>0</v>
      </c>
      <c r="I63" s="80" t="n">
        <f aca="false">IF(OR($A63="",N(Schedule!$G11)=0),0,MAX(0,NETWORKDAYS(MAX($B63,I$4),MIN($C63,EOMONTH(I$4,0)),Feries))/Schedule!$G11)</f>
        <v>0</v>
      </c>
      <c r="J63" s="80" t="n">
        <f aca="false">IF(OR($A63="",N(Schedule!$G11)=0),0,MAX(0,NETWORKDAYS(MAX($B63,J$4),MIN($C63,EOMONTH(J$4,0)),Feries))/Schedule!$G11)</f>
        <v>0</v>
      </c>
      <c r="K63" s="80" t="n">
        <f aca="false">IF(OR($A63="",N(Schedule!$G11)=0),0,MAX(0,NETWORKDAYS(MAX($B63,K$4),MIN($C63,EOMONTH(K$4,0)),Feries))/Schedule!$G11)</f>
        <v>0</v>
      </c>
      <c r="L63" s="80" t="n">
        <f aca="false">IF(OR($A63="",N(Schedule!$G11)=0),0,MAX(0,NETWORKDAYS(MAX($B63,L$4),MIN($C63,EOMONTH(L$4,0)),Feries))/Schedule!$G11)</f>
        <v>0.0434782608695652</v>
      </c>
      <c r="M63" s="80" t="n">
        <f aca="false">IF(OR($A63="",N(Schedule!$G11)=0),0,MAX(0,NETWORKDAYS(MAX($B63,M$4),MIN($C63,EOMONTH(M$4,0)),Feries))/Schedule!$G11)</f>
        <v>0.260869565217391</v>
      </c>
      <c r="N63" s="80" t="n">
        <f aca="false">IF(OR($A63="",N(Schedule!$G11)=0),0,MAX(0,NETWORKDAYS(MAX($B63,N$4),MIN($C63,EOMONTH(N$4,0)),Feries))/Schedule!$G11)</f>
        <v>0.478260869565217</v>
      </c>
      <c r="O63" s="80" t="n">
        <f aca="false">IF(OR($A63="",N(Schedule!$G11)=0),0,MAX(0,NETWORKDAYS(MAX($B63,O$4),MIN($C63,EOMONTH(O$4,0)),Feries))/Schedule!$G11)</f>
        <v>0.217391304347826</v>
      </c>
      <c r="P63" s="80" t="n">
        <f aca="false">SUM(D63:O63)</f>
        <v>1</v>
      </c>
    </row>
    <row r="64" customFormat="false" ht="15" hidden="true" customHeight="true" outlineLevel="1" collapsed="false">
      <c r="A64" s="42" t="str">
        <f aca="false">IF(Schedule!A12="","",Schedule!A12)</f>
        <v>Marketing</v>
      </c>
      <c r="B64" s="65" t="n">
        <f aca="false">IF(Schedule!D12="","",Schedule!D12)</f>
        <v>46327</v>
      </c>
      <c r="C64" s="65" t="n">
        <f aca="false">IF(Schedule!E12="","",Schedule!E12)</f>
        <v>46674</v>
      </c>
      <c r="D64" s="80" t="n">
        <f aca="false">IF(OR($A64="",N(Schedule!$G12)=0),0,MAX(0,NETWORKDAYS(MAX($B64,D$4),MIN($C64,EOMONTH(D$4,0)),Feries))/Schedule!$G12)</f>
        <v>0.087719298245614</v>
      </c>
      <c r="E64" s="80" t="n">
        <f aca="false">IF(OR($A64="",N(Schedule!$G12)=0),0,MAX(0,NETWORKDAYS(MAX($B64,E$4),MIN($C64,EOMONTH(E$4,0)),Feries))/Schedule!$G12)</f>
        <v>0.0789473684210526</v>
      </c>
      <c r="F64" s="80" t="n">
        <f aca="false">IF(OR($A64="",N(Schedule!$G12)=0),0,MAX(0,NETWORKDAYS(MAX($B64,F$4),MIN($C64,EOMONTH(F$4,0)),Feries))/Schedule!$G12)</f>
        <v>0.087719298245614</v>
      </c>
      <c r="G64" s="80" t="n">
        <f aca="false">IF(OR($A64="",N(Schedule!$G12)=0),0,MAX(0,NETWORKDAYS(MAX($B64,G$4),MIN($C64,EOMONTH(G$4,0)),Feries))/Schedule!$G12)</f>
        <v>0.087719298245614</v>
      </c>
      <c r="H64" s="80" t="n">
        <f aca="false">IF(OR($A64="",N(Schedule!$G12)=0),0,MAX(0,NETWORKDAYS(MAX($B64,H$4),MIN($C64,EOMONTH(H$4,0)),Feries))/Schedule!$G12)</f>
        <v>0.0964912280701754</v>
      </c>
      <c r="I64" s="80" t="n">
        <f aca="false">IF(OR($A64="",N(Schedule!$G12)=0),0,MAX(0,NETWORKDAYS(MAX($B64,I$4),MIN($C64,EOMONTH(I$4,0)),Feries))/Schedule!$G12)</f>
        <v>0.0964912280701754</v>
      </c>
      <c r="J64" s="80" t="n">
        <f aca="false">IF(OR($A64="",N(Schedule!$G12)=0),0,MAX(0,NETWORKDAYS(MAX($B64,J$4),MIN($C64,EOMONTH(J$4,0)),Feries))/Schedule!$G12)</f>
        <v>0.0833333333333333</v>
      </c>
      <c r="K64" s="80" t="n">
        <f aca="false">IF(OR($A64="",N(Schedule!$G12)=0),0,MAX(0,NETWORKDAYS(MAX($B64,K$4),MIN($C64,EOMONTH(K$4,0)),Feries))/Schedule!$G12)</f>
        <v>0.0964912280701754</v>
      </c>
      <c r="L64" s="80" t="n">
        <f aca="false">IF(OR($A64="",N(Schedule!$G12)=0),0,MAX(0,NETWORKDAYS(MAX($B64,L$4),MIN($C64,EOMONTH(L$4,0)),Feries))/Schedule!$G12)</f>
        <v>0.0921052631578947</v>
      </c>
      <c r="M64" s="80" t="n">
        <f aca="false">IF(OR($A64="",N(Schedule!$G12)=0),0,MAX(0,NETWORKDAYS(MAX($B64,M$4),MIN($C64,EOMONTH(M$4,0)),Feries))/Schedule!$G12)</f>
        <v>0.0526315789473684</v>
      </c>
      <c r="N64" s="80" t="n">
        <f aca="false">IF(OR($A64="",N(Schedule!$G12)=0),0,MAX(0,NETWORKDAYS(MAX($B64,N$4),MIN($C64,EOMONTH(N$4,0)),Feries))/Schedule!$G12)</f>
        <v>0.0964912280701754</v>
      </c>
      <c r="O64" s="80" t="n">
        <f aca="false">IF(OR($A64="",N(Schedule!$G12)=0),0,MAX(0,NETWORKDAYS(MAX($B64,O$4),MIN($C64,EOMONTH(O$4,0)),Feries))/Schedule!$G12)</f>
        <v>0.043859649122807</v>
      </c>
      <c r="P64" s="80" t="n">
        <f aca="false">SUM(D64:O64)</f>
        <v>1</v>
      </c>
    </row>
    <row r="65" customFormat="false" ht="15" hidden="true" customHeight="true" outlineLevel="1" collapsed="false">
      <c r="A65" s="42" t="str">
        <f aca="false">IF(Schedule!A13="","",Schedule!A13)</f>
        <v/>
      </c>
      <c r="B65" s="65" t="str">
        <f aca="false">IF(Schedule!D13="","",Schedule!D13)</f>
        <v/>
      </c>
      <c r="C65" s="65" t="str">
        <f aca="false">IF(Schedule!E13="","",Schedule!E13)</f>
        <v/>
      </c>
      <c r="D65" s="80" t="n">
        <f aca="false">IF(OR($A65="",N(Schedule!$G13)=0),0,MAX(0,NETWORKDAYS(MAX($B65,D$4),MIN($C65,EOMONTH(D$4,0)),Feries))/Schedule!$G13)</f>
        <v>0</v>
      </c>
      <c r="E65" s="80" t="n">
        <f aca="false">IF(OR($A65="",N(Schedule!$G13)=0),0,MAX(0,NETWORKDAYS(MAX($B65,E$4),MIN($C65,EOMONTH(E$4,0)),Feries))/Schedule!$G13)</f>
        <v>0</v>
      </c>
      <c r="F65" s="80" t="n">
        <f aca="false">IF(OR($A65="",N(Schedule!$G13)=0),0,MAX(0,NETWORKDAYS(MAX($B65,F$4),MIN($C65,EOMONTH(F$4,0)),Feries))/Schedule!$G13)</f>
        <v>0</v>
      </c>
      <c r="G65" s="80" t="n">
        <f aca="false">IF(OR($A65="",N(Schedule!$G13)=0),0,MAX(0,NETWORKDAYS(MAX($B65,G$4),MIN($C65,EOMONTH(G$4,0)),Feries))/Schedule!$G13)</f>
        <v>0</v>
      </c>
      <c r="H65" s="80" t="n">
        <f aca="false">IF(OR($A65="",N(Schedule!$G13)=0),0,MAX(0,NETWORKDAYS(MAX($B65,H$4),MIN($C65,EOMONTH(H$4,0)),Feries))/Schedule!$G13)</f>
        <v>0</v>
      </c>
      <c r="I65" s="80" t="n">
        <f aca="false">IF(OR($A65="",N(Schedule!$G13)=0),0,MAX(0,NETWORKDAYS(MAX($B65,I$4),MIN($C65,EOMONTH(I$4,0)),Feries))/Schedule!$G13)</f>
        <v>0</v>
      </c>
      <c r="J65" s="80" t="n">
        <f aca="false">IF(OR($A65="",N(Schedule!$G13)=0),0,MAX(0,NETWORKDAYS(MAX($B65,J$4),MIN($C65,EOMONTH(J$4,0)),Feries))/Schedule!$G13)</f>
        <v>0</v>
      </c>
      <c r="K65" s="80" t="n">
        <f aca="false">IF(OR($A65="",N(Schedule!$G13)=0),0,MAX(0,NETWORKDAYS(MAX($B65,K$4),MIN($C65,EOMONTH(K$4,0)),Feries))/Schedule!$G13)</f>
        <v>0</v>
      </c>
      <c r="L65" s="80" t="n">
        <f aca="false">IF(OR($A65="",N(Schedule!$G13)=0),0,MAX(0,NETWORKDAYS(MAX($B65,L$4),MIN($C65,EOMONTH(L$4,0)),Feries))/Schedule!$G13)</f>
        <v>0</v>
      </c>
      <c r="M65" s="80" t="n">
        <f aca="false">IF(OR($A65="",N(Schedule!$G13)=0),0,MAX(0,NETWORKDAYS(MAX($B65,M$4),MIN($C65,EOMONTH(M$4,0)),Feries))/Schedule!$G13)</f>
        <v>0</v>
      </c>
      <c r="N65" s="80" t="n">
        <f aca="false">IF(OR($A65="",N(Schedule!$G13)=0),0,MAX(0,NETWORKDAYS(MAX($B65,N$4),MIN($C65,EOMONTH(N$4,0)),Feries))/Schedule!$G13)</f>
        <v>0</v>
      </c>
      <c r="O65" s="80" t="n">
        <f aca="false">IF(OR($A65="",N(Schedule!$G13)=0),0,MAX(0,NETWORKDAYS(MAX($B65,O$4),MIN($C65,EOMONTH(O$4,0)),Feries))/Schedule!$G13)</f>
        <v>0</v>
      </c>
      <c r="P65" s="80" t="n">
        <f aca="false">SUM(D65:O65)</f>
        <v>0</v>
      </c>
    </row>
    <row r="66" customFormat="false" ht="15" hidden="true" customHeight="true" outlineLevel="1" collapsed="false">
      <c r="A66" s="42" t="str">
        <f aca="false">IF(Schedule!A14="","",Schedule!A14)</f>
        <v/>
      </c>
      <c r="B66" s="65" t="str">
        <f aca="false">IF(Schedule!D14="","",Schedule!D14)</f>
        <v/>
      </c>
      <c r="C66" s="65" t="str">
        <f aca="false">IF(Schedule!E14="","",Schedule!E14)</f>
        <v/>
      </c>
      <c r="D66" s="80" t="n">
        <f aca="false">IF(OR($A66="",N(Schedule!$G14)=0),0,MAX(0,NETWORKDAYS(MAX($B66,D$4),MIN($C66,EOMONTH(D$4,0)),Feries))/Schedule!$G14)</f>
        <v>0</v>
      </c>
      <c r="E66" s="80" t="n">
        <f aca="false">IF(OR($A66="",N(Schedule!$G14)=0),0,MAX(0,NETWORKDAYS(MAX($B66,E$4),MIN($C66,EOMONTH(E$4,0)),Feries))/Schedule!$G14)</f>
        <v>0</v>
      </c>
      <c r="F66" s="80" t="n">
        <f aca="false">IF(OR($A66="",N(Schedule!$G14)=0),0,MAX(0,NETWORKDAYS(MAX($B66,F$4),MIN($C66,EOMONTH(F$4,0)),Feries))/Schedule!$G14)</f>
        <v>0</v>
      </c>
      <c r="G66" s="80" t="n">
        <f aca="false">IF(OR($A66="",N(Schedule!$G14)=0),0,MAX(0,NETWORKDAYS(MAX($B66,G$4),MIN($C66,EOMONTH(G$4,0)),Feries))/Schedule!$G14)</f>
        <v>0</v>
      </c>
      <c r="H66" s="80" t="n">
        <f aca="false">IF(OR($A66="",N(Schedule!$G14)=0),0,MAX(0,NETWORKDAYS(MAX($B66,H$4),MIN($C66,EOMONTH(H$4,0)),Feries))/Schedule!$G14)</f>
        <v>0</v>
      </c>
      <c r="I66" s="80" t="n">
        <f aca="false">IF(OR($A66="",N(Schedule!$G14)=0),0,MAX(0,NETWORKDAYS(MAX($B66,I$4),MIN($C66,EOMONTH(I$4,0)),Feries))/Schedule!$G14)</f>
        <v>0</v>
      </c>
      <c r="J66" s="80" t="n">
        <f aca="false">IF(OR($A66="",N(Schedule!$G14)=0),0,MAX(0,NETWORKDAYS(MAX($B66,J$4),MIN($C66,EOMONTH(J$4,0)),Feries))/Schedule!$G14)</f>
        <v>0</v>
      </c>
      <c r="K66" s="80" t="n">
        <f aca="false">IF(OR($A66="",N(Schedule!$G14)=0),0,MAX(0,NETWORKDAYS(MAX($B66,K$4),MIN($C66,EOMONTH(K$4,0)),Feries))/Schedule!$G14)</f>
        <v>0</v>
      </c>
      <c r="L66" s="80" t="n">
        <f aca="false">IF(OR($A66="",N(Schedule!$G14)=0),0,MAX(0,NETWORKDAYS(MAX($B66,L$4),MIN($C66,EOMONTH(L$4,0)),Feries))/Schedule!$G14)</f>
        <v>0</v>
      </c>
      <c r="M66" s="80" t="n">
        <f aca="false">IF(OR($A66="",N(Schedule!$G14)=0),0,MAX(0,NETWORKDAYS(MAX($B66,M$4),MIN($C66,EOMONTH(M$4,0)),Feries))/Schedule!$G14)</f>
        <v>0</v>
      </c>
      <c r="N66" s="80" t="n">
        <f aca="false">IF(OR($A66="",N(Schedule!$G14)=0),0,MAX(0,NETWORKDAYS(MAX($B66,N$4),MIN($C66,EOMONTH(N$4,0)),Feries))/Schedule!$G14)</f>
        <v>0</v>
      </c>
      <c r="O66" s="80" t="n">
        <f aca="false">IF(OR($A66="",N(Schedule!$G14)=0),0,MAX(0,NETWORKDAYS(MAX($B66,O$4),MIN($C66,EOMONTH(O$4,0)),Feries))/Schedule!$G14)</f>
        <v>0</v>
      </c>
      <c r="P66" s="80" t="n">
        <f aca="false">SUM(D66:O66)</f>
        <v>0</v>
      </c>
    </row>
    <row r="67" customFormat="false" ht="15" hidden="true" customHeight="true" outlineLevel="1" collapsed="false">
      <c r="A67" s="34" t="s">
        <v>384</v>
      </c>
    </row>
  </sheetData>
  <conditionalFormatting sqref="P9:P14">
    <cfRule type="expression" priority="2" aboveAverage="0" equalAverage="0" bottom="0" percent="0" rank="0" text="" dxfId="1">
      <formula>AND(ISNUMBER(P9),ABS(P9-Q9)&gt;0.05)</formula>
    </cfRule>
  </conditionalFormatting>
  <conditionalFormatting sqref="D39:P44">
    <cfRule type="expression" priority="3" aboveAverage="0" equalAverage="0" bottom="0" percent="0" rank="0" text="" dxfId="9">
      <formula>D39="No capacity"</formula>
    </cfRule>
    <cfRule type="expression" priority="4" aboveAverage="0" equalAverage="0" bottom="0" percent="0" rank="0" text="" dxfId="9">
      <formula>AND(ISNUMBER(D39),D39&gt;1)</formula>
    </cfRule>
    <cfRule type="expression" priority="5" aboveAverage="0" equalAverage="0" bottom="0" percent="0" rank="0" text="" dxfId="1">
      <formula>AND(ISNUMBER(D39),D39&gt;=0.95)</formula>
    </cfRule>
  </conditionalFormatting>
  <conditionalFormatting sqref="D53:P53">
    <cfRule type="expression" priority="6" aboveAverage="0" equalAverage="0" bottom="0" percent="0" rank="0" text="" dxfId="9">
      <formula>AND(ISNUMBER(D53),D53&gt;1)</formula>
    </cfRule>
    <cfRule type="expression" priority="7" aboveAverage="0" equalAverage="0" bottom="0" percent="0" rank="0" text="" dxfId="1">
      <formula>AND(ISNUMBER(D53),D53&gt;=0.95)</formula>
    </cfRule>
  </conditionalFormatting>
  <conditionalFormatting sqref="D54:P54">
    <cfRule type="expression" priority="8" aboveAverage="0" equalAverage="0" bottom="0" percent="0" rank="0" text="" dxfId="9">
      <formula>AND(ISNUMBER(D54),D54&lt;0)</formula>
    </cfRule>
  </conditionalFormatting>
  <conditionalFormatting sqref="P59:P66">
    <cfRule type="expression" priority="9" aboveAverage="0" equalAverage="0" bottom="0" percent="0" rank="0" text="" dxfId="1">
      <formula>AND($A59&lt;&gt;"",P59&gt;0,P59&lt;0.999)</formula>
    </cfRule>
  </conditionalFormatting>
  <dataValidations count="1">
    <dataValidation allowBlank="true" errorStyle="stop" operator="greaterThanOrEqual" showDropDown="false" showErrorMessage="false" showInputMessage="false" sqref="D20:O25" type="decimal">
      <formula1>0</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43C9"/>
    <pageSetUpPr fitToPage="true"/>
  </sheetPr>
  <dimension ref="A1:Y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1"/>
  <cols>
    <col collapsed="false" customWidth="true" hidden="false" outlineLevel="0" max="1" min="1" style="1" width="6"/>
    <col collapsed="false" customWidth="true" hidden="false" outlineLevel="0" max="2" min="2" style="1" width="50"/>
    <col collapsed="false" customWidth="true" hidden="false" outlineLevel="0" max="4" min="3" style="1" width="11"/>
    <col collapsed="false" customWidth="true" hidden="false" outlineLevel="0" max="5" min="5" style="1" width="9"/>
    <col collapsed="false" customWidth="true" hidden="false" outlineLevel="0" max="6" min="6" style="1" width="12"/>
    <col collapsed="false" customWidth="true" hidden="false" outlineLevel="0" max="7" min="7" style="1" width="46"/>
    <col collapsed="false" customWidth="true" hidden="false" outlineLevel="0" max="9" min="8" style="1" width="11"/>
    <col collapsed="false" customWidth="true" hidden="false" outlineLevel="0" max="10" min="10" style="1" width="10"/>
    <col collapsed="false" customWidth="true" hidden="true" outlineLevel="1" max="11" min="11" style="1" width="12"/>
    <col collapsed="false" customWidth="true" hidden="true" outlineLevel="1" max="13" min="12" style="1" width="11"/>
    <col collapsed="false" customWidth="true" hidden="true" outlineLevel="1" max="14" min="14" style="1" width="9"/>
    <col collapsed="false" customWidth="true" hidden="true" outlineLevel="1" max="16" min="15" style="1" width="11"/>
    <col collapsed="false" customWidth="true" hidden="true" outlineLevel="1" max="17" min="17" style="1" width="8"/>
    <col collapsed="false" customWidth="true" hidden="false" outlineLevel="0" max="18" min="18" style="1" width="3"/>
    <col collapsed="false" customWidth="true" hidden="false" outlineLevel="0" max="19" min="19" style="1" width="44"/>
    <col collapsed="false" customWidth="true" hidden="false" outlineLevel="0" max="23" min="20" style="1" width="8"/>
    <col collapsed="false" customWidth="true" hidden="false" outlineLevel="0" max="24" min="24" style="1" width="12"/>
    <col collapsed="false" customWidth="true" hidden="false" outlineLevel="0" max="25" min="25" style="1" width="50"/>
  </cols>
  <sheetData>
    <row r="1" customFormat="false" ht="17.25" hidden="false" customHeight="true" outlineLevel="0" collapsed="false">
      <c r="A1" s="17" t="s">
        <v>385</v>
      </c>
    </row>
    <row r="2" customFormat="false" ht="21" hidden="false" customHeight="true" outlineLevel="0" collapsed="false">
      <c r="A2" s="18" t="s">
        <v>386</v>
      </c>
      <c r="B2" s="18"/>
      <c r="C2" s="18"/>
      <c r="D2" s="18"/>
      <c r="E2" s="18"/>
      <c r="F2" s="18"/>
      <c r="G2" s="18"/>
      <c r="H2" s="18"/>
      <c r="I2" s="18"/>
      <c r="J2" s="18"/>
    </row>
    <row r="3" customFormat="false" ht="18" hidden="false" customHeight="true" outlineLevel="0" collapsed="false">
      <c r="B3" s="19" t="s">
        <v>80</v>
      </c>
      <c r="C3" s="20" t="s">
        <v>387</v>
      </c>
      <c r="D3" s="81" t="s">
        <v>388</v>
      </c>
      <c r="E3" s="37" t="s">
        <v>389</v>
      </c>
      <c r="F3" s="38" t="s">
        <v>390</v>
      </c>
      <c r="G3" s="82" t="s">
        <v>391</v>
      </c>
      <c r="S3" s="21" t="s">
        <v>392</v>
      </c>
    </row>
    <row r="4" customFormat="false" ht="42" hidden="false" customHeight="true" outlineLevel="0" collapsed="false">
      <c r="A4" s="22" t="s">
        <v>178</v>
      </c>
      <c r="B4" s="22" t="s">
        <v>393</v>
      </c>
      <c r="C4" s="22" t="s">
        <v>394</v>
      </c>
      <c r="D4" s="22" t="s">
        <v>395</v>
      </c>
      <c r="E4" s="22" t="s">
        <v>396</v>
      </c>
      <c r="F4" s="22" t="s">
        <v>397</v>
      </c>
      <c r="G4" s="22" t="s">
        <v>398</v>
      </c>
      <c r="H4" s="22" t="s">
        <v>399</v>
      </c>
      <c r="I4" s="22" t="s">
        <v>400</v>
      </c>
      <c r="J4" s="22" t="s">
        <v>401</v>
      </c>
      <c r="K4" s="40" t="s">
        <v>402</v>
      </c>
      <c r="L4" s="40" t="s">
        <v>403</v>
      </c>
      <c r="M4" s="40" t="s">
        <v>404</v>
      </c>
      <c r="N4" s="40" t="s">
        <v>405</v>
      </c>
      <c r="O4" s="40" t="s">
        <v>406</v>
      </c>
      <c r="P4" s="40" t="s">
        <v>407</v>
      </c>
      <c r="Q4" s="40" t="s">
        <v>408</v>
      </c>
      <c r="S4" s="22" t="s">
        <v>409</v>
      </c>
      <c r="T4" s="83" t="n">
        <v>1</v>
      </c>
      <c r="U4" s="83" t="n">
        <v>2</v>
      </c>
      <c r="V4" s="83" t="n">
        <v>3</v>
      </c>
      <c r="W4" s="83" t="n">
        <v>4</v>
      </c>
    </row>
    <row r="5" customFormat="false" ht="57" hidden="false" customHeight="true" outlineLevel="0" collapsed="false">
      <c r="A5" s="84" t="s">
        <v>410</v>
      </c>
      <c r="B5" s="85" t="s">
        <v>411</v>
      </c>
      <c r="C5" s="86" t="n">
        <v>3</v>
      </c>
      <c r="D5" s="86" t="n">
        <v>4</v>
      </c>
      <c r="E5" s="87" t="n">
        <f aca="false">IF(OR(C5="",D5=""),"",C5*D5)</f>
        <v>12</v>
      </c>
      <c r="F5" s="88" t="str">
        <f aca="false">IF(E5="","",IF(E5&gt;=8,"Critical",IF(E5&gt;=4,"Watch","Low")))</f>
        <v>Critical</v>
      </c>
      <c r="G5" s="85" t="s">
        <v>412</v>
      </c>
      <c r="H5" s="89" t="s">
        <v>92</v>
      </c>
      <c r="I5" s="90" t="n">
        <v>46538</v>
      </c>
      <c r="J5" s="89" t="s">
        <v>413</v>
      </c>
      <c r="K5" s="89" t="s">
        <v>414</v>
      </c>
      <c r="L5" s="89" t="s">
        <v>415</v>
      </c>
      <c r="M5" s="90" t="n">
        <v>46328</v>
      </c>
      <c r="N5" s="84" t="s">
        <v>143</v>
      </c>
      <c r="O5" s="91" t="n">
        <v>10</v>
      </c>
      <c r="P5" s="92" t="n">
        <f aca="false">IF(OR(C5="",O5="",J5="Closed"),"",ROUND(CHOOSE(C5,0.1,0.35,0.65,0.9)*O5,1))</f>
        <v>6.5</v>
      </c>
      <c r="Q5" s="93" t="n">
        <f aca="false">IF(OR(E5="",J5="Closed"),"",E5+N(P5)/1000+(100-ROW())/1000000)</f>
        <v>12.006595</v>
      </c>
      <c r="S5" s="94" t="n">
        <v>4</v>
      </c>
      <c r="T5" s="95" t="n">
        <f aca="false">COUNTIFS($C$5:$C$34,$S5,$D$5:$D$34,T$4,$J$5:$J$34,"&lt;&gt;Closed")</f>
        <v>0</v>
      </c>
      <c r="U5" s="96" t="n">
        <f aca="false">COUNTIFS($C$5:$C$34,$S5,$D$5:$D$34,U$4,$J$5:$J$34,"&lt;&gt;Closed")</f>
        <v>0</v>
      </c>
      <c r="V5" s="96" t="n">
        <f aca="false">COUNTIFS($C$5:$C$34,$S5,$D$5:$D$34,V$4,$J$5:$J$34,"&lt;&gt;Closed")</f>
        <v>0</v>
      </c>
      <c r="W5" s="96" t="n">
        <f aca="false">COUNTIFS($C$5:$C$34,$S5,$D$5:$D$34,W$4,$J$5:$J$34,"&lt;&gt;Closed")</f>
        <v>0</v>
      </c>
    </row>
    <row r="6" customFormat="false" ht="43.5" hidden="false" customHeight="true" outlineLevel="0" collapsed="false">
      <c r="A6" s="84" t="s">
        <v>416</v>
      </c>
      <c r="B6" s="85" t="s">
        <v>417</v>
      </c>
      <c r="C6" s="86" t="n">
        <v>2</v>
      </c>
      <c r="D6" s="86" t="n">
        <v>3</v>
      </c>
      <c r="E6" s="87" t="n">
        <f aca="false">IF(OR(C6="",D6=""),"",C6*D6)</f>
        <v>6</v>
      </c>
      <c r="F6" s="88" t="str">
        <f aca="false">IF(E6="","",IF(E6&gt;=8,"Critical",IF(E6&gt;=4,"Watch","Low")))</f>
        <v>Watch</v>
      </c>
      <c r="G6" s="85" t="s">
        <v>418</v>
      </c>
      <c r="H6" s="89" t="s">
        <v>90</v>
      </c>
      <c r="I6" s="90" t="n">
        <v>46444</v>
      </c>
      <c r="J6" s="89" t="s">
        <v>413</v>
      </c>
      <c r="K6" s="89" t="s">
        <v>419</v>
      </c>
      <c r="L6" s="89" t="s">
        <v>415</v>
      </c>
      <c r="M6" s="90" t="n">
        <v>46328</v>
      </c>
      <c r="N6" s="84" t="s">
        <v>220</v>
      </c>
      <c r="O6" s="91" t="n">
        <v>5</v>
      </c>
      <c r="P6" s="92" t="n">
        <f aca="false">IF(OR(C6="",O6="",J6="Closed"),"",ROUND(CHOOSE(C6,0.1,0.35,0.65,0.9)*O6,1))</f>
        <v>1.8</v>
      </c>
      <c r="Q6" s="93" t="n">
        <f aca="false">IF(OR(E6="",J6="Closed"),"",E6+N(P6)/1000+(100-ROW())/1000000)</f>
        <v>6.001894</v>
      </c>
      <c r="S6" s="94" t="n">
        <v>3</v>
      </c>
      <c r="T6" s="97" t="n">
        <f aca="false">COUNTIFS($C$5:$C$34,$S6,$D$5:$D$34,T$4,$J$5:$J$34,"&lt;&gt;Closed")</f>
        <v>1</v>
      </c>
      <c r="U6" s="95" t="n">
        <f aca="false">COUNTIFS($C$5:$C$34,$S6,$D$5:$D$34,U$4,$J$5:$J$34,"&lt;&gt;Closed")</f>
        <v>1</v>
      </c>
      <c r="V6" s="96" t="n">
        <f aca="false">COUNTIFS($C$5:$C$34,$S6,$D$5:$D$34,V$4,$J$5:$J$34,"&lt;&gt;Closed")</f>
        <v>1</v>
      </c>
      <c r="W6" s="96" t="n">
        <f aca="false">COUNTIFS($C$5:$C$34,$S6,$D$5:$D$34,W$4,$J$5:$J$34,"&lt;&gt;Closed")</f>
        <v>1</v>
      </c>
    </row>
    <row r="7" customFormat="false" ht="43.5" hidden="false" customHeight="true" outlineLevel="0" collapsed="false">
      <c r="A7" s="84" t="s">
        <v>420</v>
      </c>
      <c r="B7" s="85" t="s">
        <v>421</v>
      </c>
      <c r="C7" s="86" t="n">
        <v>3</v>
      </c>
      <c r="D7" s="86" t="n">
        <v>3</v>
      </c>
      <c r="E7" s="87" t="n">
        <f aca="false">IF(OR(C7="",D7=""),"",C7*D7)</f>
        <v>9</v>
      </c>
      <c r="F7" s="88" t="str">
        <f aca="false">IF(E7="","",IF(E7&gt;=8,"Critical",IF(E7&gt;=4,"Watch","Low")))</f>
        <v>Critical</v>
      </c>
      <c r="G7" s="85" t="s">
        <v>422</v>
      </c>
      <c r="H7" s="89" t="s">
        <v>92</v>
      </c>
      <c r="I7" s="90" t="n">
        <v>46461</v>
      </c>
      <c r="J7" s="89" t="s">
        <v>413</v>
      </c>
      <c r="K7" s="89" t="s">
        <v>423</v>
      </c>
      <c r="L7" s="89" t="s">
        <v>415</v>
      </c>
      <c r="M7" s="90" t="n">
        <v>46328</v>
      </c>
      <c r="N7" s="84" t="s">
        <v>216</v>
      </c>
      <c r="O7" s="91" t="n">
        <v>15</v>
      </c>
      <c r="P7" s="92" t="n">
        <f aca="false">IF(OR(C7="",O7="",J7="Closed"),"",ROUND(CHOOSE(C7,0.1,0.35,0.65,0.9)*O7,1))</f>
        <v>9.8</v>
      </c>
      <c r="Q7" s="93" t="n">
        <f aca="false">IF(OR(E7="",J7="Closed"),"",E7+N(P7)/1000+(100-ROW())/1000000)</f>
        <v>9.009893</v>
      </c>
      <c r="S7" s="94" t="n">
        <v>2</v>
      </c>
      <c r="T7" s="97" t="n">
        <f aca="false">COUNTIFS($C$5:$C$34,$S7,$D$5:$D$34,T$4,$J$5:$J$34,"&lt;&gt;Closed")</f>
        <v>0</v>
      </c>
      <c r="U7" s="95" t="n">
        <f aca="false">COUNTIFS($C$5:$C$34,$S7,$D$5:$D$34,U$4,$J$5:$J$34,"&lt;&gt;Closed")</f>
        <v>1</v>
      </c>
      <c r="V7" s="95" t="n">
        <f aca="false">COUNTIFS($C$5:$C$34,$S7,$D$5:$D$34,V$4,$J$5:$J$34,"&lt;&gt;Closed")</f>
        <v>1</v>
      </c>
      <c r="W7" s="96" t="n">
        <f aca="false">COUNTIFS($C$5:$C$34,$S7,$D$5:$D$34,W$4,$J$5:$J$34,"&lt;&gt;Closed")</f>
        <v>1</v>
      </c>
    </row>
    <row r="8" customFormat="false" ht="57" hidden="false" customHeight="true" outlineLevel="0" collapsed="false">
      <c r="A8" s="84" t="s">
        <v>424</v>
      </c>
      <c r="B8" s="85" t="s">
        <v>425</v>
      </c>
      <c r="C8" s="86" t="n">
        <v>2</v>
      </c>
      <c r="D8" s="86" t="n">
        <v>4</v>
      </c>
      <c r="E8" s="87" t="n">
        <f aca="false">IF(OR(C8="",D8=""),"",C8*D8)</f>
        <v>8</v>
      </c>
      <c r="F8" s="88" t="str">
        <f aca="false">IF(E8="","",IF(E8&gt;=8,"Critical",IF(E8&gt;=4,"Watch","Low")))</f>
        <v>Critical</v>
      </c>
      <c r="G8" s="85" t="s">
        <v>426</v>
      </c>
      <c r="H8" s="89" t="s">
        <v>92</v>
      </c>
      <c r="I8" s="90" t="n">
        <v>46416</v>
      </c>
      <c r="J8" s="89" t="s">
        <v>427</v>
      </c>
      <c r="K8" s="89" t="s">
        <v>82</v>
      </c>
      <c r="L8" s="89" t="s">
        <v>415</v>
      </c>
      <c r="M8" s="90" t="n">
        <v>46328</v>
      </c>
      <c r="N8" s="84" t="s">
        <v>140</v>
      </c>
      <c r="O8" s="91" t="n">
        <v>30</v>
      </c>
      <c r="P8" s="92" t="n">
        <f aca="false">IF(OR(C8="",O8="",J8="Closed"),"",ROUND(CHOOSE(C8,0.1,0.35,0.65,0.9)*O8,1))</f>
        <v>10.5</v>
      </c>
      <c r="Q8" s="93" t="n">
        <f aca="false">IF(OR(E8="",J8="Closed"),"",E8+N(P8)/1000+(100-ROW())/1000000)</f>
        <v>8.010592</v>
      </c>
      <c r="S8" s="94" t="n">
        <v>1</v>
      </c>
      <c r="T8" s="97" t="n">
        <f aca="false">COUNTIFS($C$5:$C$34,$S8,$D$5:$D$34,T$4,$J$5:$J$34,"&lt;&gt;Closed")</f>
        <v>0</v>
      </c>
      <c r="U8" s="97" t="n">
        <f aca="false">COUNTIFS($C$5:$C$34,$S8,$D$5:$D$34,U$4,$J$5:$J$34,"&lt;&gt;Closed")</f>
        <v>0</v>
      </c>
      <c r="V8" s="97" t="n">
        <f aca="false">COUNTIFS($C$5:$C$34,$S8,$D$5:$D$34,V$4,$J$5:$J$34,"&lt;&gt;Closed")</f>
        <v>0</v>
      </c>
      <c r="W8" s="95" t="n">
        <f aca="false">COUNTIFS($C$5:$C$34,$S8,$D$5:$D$34,W$4,$J$5:$J$34,"&lt;&gt;Closed")</f>
        <v>0</v>
      </c>
    </row>
    <row r="9" customFormat="false" ht="57" hidden="false" customHeight="true" outlineLevel="0" collapsed="false">
      <c r="A9" s="84" t="s">
        <v>428</v>
      </c>
      <c r="B9" s="85" t="s">
        <v>429</v>
      </c>
      <c r="C9" s="86" t="n">
        <v>3</v>
      </c>
      <c r="D9" s="86" t="n">
        <v>2</v>
      </c>
      <c r="E9" s="87" t="n">
        <f aca="false">IF(OR(C9="",D9=""),"",C9*D9)</f>
        <v>6</v>
      </c>
      <c r="F9" s="88" t="str">
        <f aca="false">IF(E9="","",IF(E9&gt;=8,"Critical",IF(E9&gt;=4,"Watch","Low")))</f>
        <v>Watch</v>
      </c>
      <c r="G9" s="85" t="s">
        <v>430</v>
      </c>
      <c r="H9" s="89" t="s">
        <v>92</v>
      </c>
      <c r="I9" s="90" t="n">
        <v>46402</v>
      </c>
      <c r="J9" s="89" t="s">
        <v>413</v>
      </c>
      <c r="K9" s="89" t="s">
        <v>431</v>
      </c>
      <c r="L9" s="89" t="s">
        <v>432</v>
      </c>
      <c r="M9" s="90" t="n">
        <v>46328</v>
      </c>
      <c r="N9" s="84" t="s">
        <v>230</v>
      </c>
      <c r="O9" s="91" t="n">
        <v>24</v>
      </c>
      <c r="P9" s="92" t="n">
        <f aca="false">IF(OR(C9="",O9="",J9="Closed"),"",ROUND(CHOOSE(C9,0.1,0.35,0.65,0.9)*O9,1))</f>
        <v>15.6</v>
      </c>
      <c r="Q9" s="93" t="n">
        <f aca="false">IF(OR(E9="",J9="Closed"),"",E9+N(P9)/1000+(100-ROW())/1000000)</f>
        <v>6.015691</v>
      </c>
      <c r="S9" s="26" t="s">
        <v>433</v>
      </c>
      <c r="T9" s="26"/>
      <c r="U9" s="26"/>
      <c r="V9" s="26"/>
      <c r="W9" s="26"/>
    </row>
    <row r="10" customFormat="false" ht="57" hidden="false" customHeight="true" outlineLevel="0" collapsed="false">
      <c r="A10" s="84" t="s">
        <v>434</v>
      </c>
      <c r="B10" s="85" t="s">
        <v>435</v>
      </c>
      <c r="C10" s="86" t="n">
        <v>2</v>
      </c>
      <c r="D10" s="86" t="n">
        <v>2</v>
      </c>
      <c r="E10" s="87" t="n">
        <f aca="false">IF(OR(C10="",D10=""),"",C10*D10)</f>
        <v>4</v>
      </c>
      <c r="F10" s="88" t="str">
        <f aca="false">IF(E10="","",IF(E10&gt;=8,"Critical",IF(E10&gt;=4,"Watch","Low")))</f>
        <v>Watch</v>
      </c>
      <c r="G10" s="85" t="s">
        <v>436</v>
      </c>
      <c r="H10" s="89" t="s">
        <v>88</v>
      </c>
      <c r="I10" s="90" t="n">
        <v>46646</v>
      </c>
      <c r="J10" s="89" t="s">
        <v>413</v>
      </c>
      <c r="K10" s="89" t="s">
        <v>437</v>
      </c>
      <c r="L10" s="89" t="s">
        <v>415</v>
      </c>
      <c r="M10" s="90" t="n">
        <v>46328</v>
      </c>
      <c r="N10" s="84" t="s">
        <v>276</v>
      </c>
      <c r="O10" s="91" t="n">
        <v>4</v>
      </c>
      <c r="P10" s="92" t="n">
        <f aca="false">IF(OR(C10="",O10="",J10="Closed"),"",ROUND(CHOOSE(C10,0.1,0.35,0.65,0.9)*O10,1))</f>
        <v>1.4</v>
      </c>
      <c r="Q10" s="93" t="n">
        <f aca="false">IF(OR(E10="",J10="Closed"),"",E10+N(P10)/1000+(100-ROW())/1000000)</f>
        <v>4.00149</v>
      </c>
      <c r="S10" s="26"/>
      <c r="T10" s="26"/>
      <c r="U10" s="26"/>
      <c r="V10" s="26"/>
      <c r="W10" s="26"/>
    </row>
    <row r="11" customFormat="false" ht="43.5" hidden="false" customHeight="true" outlineLevel="0" collapsed="false">
      <c r="A11" s="84" t="s">
        <v>438</v>
      </c>
      <c r="B11" s="85" t="s">
        <v>439</v>
      </c>
      <c r="C11" s="86" t="n">
        <v>3</v>
      </c>
      <c r="D11" s="86" t="n">
        <v>1</v>
      </c>
      <c r="E11" s="87" t="n">
        <f aca="false">IF(OR(C11="",D11=""),"",C11*D11)</f>
        <v>3</v>
      </c>
      <c r="F11" s="88" t="str">
        <f aca="false">IF(E11="","",IF(E11&gt;=8,"Critical",IF(E11&gt;=4,"Watch","Low")))</f>
        <v>Low</v>
      </c>
      <c r="G11" s="85" t="s">
        <v>440</v>
      </c>
      <c r="H11" s="89" t="s">
        <v>92</v>
      </c>
      <c r="I11" s="90" t="n">
        <v>46645</v>
      </c>
      <c r="J11" s="89" t="s">
        <v>413</v>
      </c>
      <c r="K11" s="89" t="s">
        <v>441</v>
      </c>
      <c r="L11" s="89" t="s">
        <v>415</v>
      </c>
      <c r="M11" s="90" t="n">
        <v>46328</v>
      </c>
      <c r="N11" s="84" t="s">
        <v>286</v>
      </c>
      <c r="O11" s="91" t="n">
        <v>3</v>
      </c>
      <c r="P11" s="92" t="n">
        <f aca="false">IF(OR(C11="",O11="",J11="Closed"),"",ROUND(CHOOSE(C11,0.1,0.35,0.65,0.9)*O11,1))</f>
        <v>2</v>
      </c>
      <c r="Q11" s="93" t="n">
        <f aca="false">IF(OR(E11="",J11="Closed"),"",E11+N(P11)/1000+(100-ROW())/1000000)</f>
        <v>3.002089</v>
      </c>
    </row>
    <row r="12" customFormat="false" ht="43.5" hidden="false" customHeight="true" outlineLevel="0" collapsed="false">
      <c r="A12" s="84" t="s">
        <v>442</v>
      </c>
      <c r="B12" s="85" t="s">
        <v>443</v>
      </c>
      <c r="C12" s="86" t="n">
        <v>1</v>
      </c>
      <c r="D12" s="86" t="n">
        <v>3</v>
      </c>
      <c r="E12" s="87" t="n">
        <f aca="false">IF(OR(C12="",D12=""),"",C12*D12)</f>
        <v>3</v>
      </c>
      <c r="F12" s="88" t="str">
        <f aca="false">IF(E12="","",IF(E12&gt;=8,"Critical",IF(E12&gt;=4,"Watch","Low")))</f>
        <v>Low</v>
      </c>
      <c r="G12" s="85" t="s">
        <v>444</v>
      </c>
      <c r="H12" s="89" t="s">
        <v>88</v>
      </c>
      <c r="I12" s="90" t="n">
        <v>46328</v>
      </c>
      <c r="J12" s="89" t="s">
        <v>445</v>
      </c>
      <c r="K12" s="89" t="s">
        <v>446</v>
      </c>
      <c r="L12" s="89" t="s">
        <v>415</v>
      </c>
      <c r="M12" s="90" t="n">
        <v>46328</v>
      </c>
      <c r="N12" s="84" t="s">
        <v>195</v>
      </c>
      <c r="O12" s="91" t="n">
        <v>8</v>
      </c>
      <c r="P12" s="92" t="str">
        <f aca="false">IF(OR(C12="",O12="",J12="Closed"),"",ROUND(CHOOSE(C12,0.1,0.35,0.65,0.9)*O12,1))</f>
        <v/>
      </c>
      <c r="Q12" s="93" t="str">
        <f aca="false">IF(OR(E12="",J12="Closed"),"",E12+N(P12)/1000+(100-ROW())/1000000)</f>
        <v/>
      </c>
      <c r="S12" s="21" t="s">
        <v>447</v>
      </c>
    </row>
    <row r="13" customFormat="false" ht="15" hidden="false" customHeight="true" outlineLevel="0" collapsed="false">
      <c r="A13" s="84"/>
      <c r="B13" s="85"/>
      <c r="C13" s="86"/>
      <c r="D13" s="86"/>
      <c r="E13" s="87" t="str">
        <f aca="false">IF(OR(C13="",D13=""),"",C13*D13)</f>
        <v/>
      </c>
      <c r="F13" s="88" t="str">
        <f aca="false">IF(E13="","",IF(E13&gt;=8,"Critical",IF(E13&gt;=4,"Watch","Low")))</f>
        <v/>
      </c>
      <c r="G13" s="85"/>
      <c r="H13" s="89"/>
      <c r="I13" s="90"/>
      <c r="J13" s="89"/>
      <c r="K13" s="89"/>
      <c r="L13" s="89"/>
      <c r="M13" s="90"/>
      <c r="N13" s="84"/>
      <c r="O13" s="91"/>
      <c r="P13" s="92" t="str">
        <f aca="false">IF(OR(C13="",O13="",J13="Closed"),"",ROUND(CHOOSE(C13,0.1,0.35,0.65,0.9)*O13,1))</f>
        <v/>
      </c>
      <c r="Q13" s="93" t="str">
        <f aca="false">IF(OR(E13="",J13="Closed"),"",E13+N(P13)/1000+(100-ROW())/1000000)</f>
        <v/>
      </c>
      <c r="S13" s="42" t="s">
        <v>448</v>
      </c>
      <c r="T13" s="98" t="n">
        <f aca="false">E36</f>
        <v>7</v>
      </c>
    </row>
    <row r="14" customFormat="false" ht="15" hidden="false" customHeight="true" outlineLevel="0" collapsed="false">
      <c r="A14" s="84"/>
      <c r="B14" s="85"/>
      <c r="C14" s="86"/>
      <c r="D14" s="86"/>
      <c r="E14" s="87" t="str">
        <f aca="false">IF(OR(C14="",D14=""),"",C14*D14)</f>
        <v/>
      </c>
      <c r="F14" s="88" t="str">
        <f aca="false">IF(E14="","",IF(E14&gt;=8,"Critical",IF(E14&gt;=4,"Watch","Low")))</f>
        <v/>
      </c>
      <c r="G14" s="85"/>
      <c r="H14" s="89"/>
      <c r="I14" s="90"/>
      <c r="J14" s="89"/>
      <c r="K14" s="89"/>
      <c r="L14" s="89"/>
      <c r="M14" s="90"/>
      <c r="N14" s="84"/>
      <c r="O14" s="91"/>
      <c r="P14" s="92" t="str">
        <f aca="false">IF(OR(C14="",O14="",J14="Closed"),"",ROUND(CHOOSE(C14,0.1,0.35,0.65,0.9)*O14,1))</f>
        <v/>
      </c>
      <c r="Q14" s="93" t="str">
        <f aca="false">IF(OR(E14="",J14="Closed"),"",E14+N(P14)/1000+(100-ROW())/1000000)</f>
        <v/>
      </c>
      <c r="S14" s="42" t="s">
        <v>449</v>
      </c>
      <c r="T14" s="99" t="n">
        <f aca="false">COUNTIFS(E5:E34,"&gt;=8",J5:J34,"&lt;&gt;Closed")</f>
        <v>3</v>
      </c>
    </row>
    <row r="15" customFormat="false" ht="15" hidden="false" customHeight="true" outlineLevel="0" collapsed="false">
      <c r="A15" s="84"/>
      <c r="B15" s="85"/>
      <c r="C15" s="86"/>
      <c r="D15" s="86"/>
      <c r="E15" s="87" t="str">
        <f aca="false">IF(OR(C15="",D15=""),"",C15*D15)</f>
        <v/>
      </c>
      <c r="F15" s="88" t="str">
        <f aca="false">IF(E15="","",IF(E15&gt;=8,"Critical",IF(E15&gt;=4,"Watch","Low")))</f>
        <v/>
      </c>
      <c r="G15" s="85"/>
      <c r="H15" s="89"/>
      <c r="I15" s="90"/>
      <c r="J15" s="89"/>
      <c r="K15" s="89"/>
      <c r="L15" s="89"/>
      <c r="M15" s="90"/>
      <c r="N15" s="84"/>
      <c r="O15" s="91"/>
      <c r="P15" s="92" t="str">
        <f aca="false">IF(OR(C15="",O15="",J15="Closed"),"",ROUND(CHOOSE(C15,0.1,0.35,0.65,0.9)*O15,1))</f>
        <v/>
      </c>
      <c r="Q15" s="93" t="str">
        <f aca="false">IF(OR(E15="",J15="Closed"),"",E15+N(P15)/1000+(100-ROW())/1000000)</f>
        <v/>
      </c>
      <c r="S15" s="42" t="s">
        <v>450</v>
      </c>
      <c r="T15" s="100" t="n">
        <f aca="false">COUNTIFS(E5:E34,"&gt;=4",E5:E34,"&lt;8",J5:J34,"&lt;&gt;Closed")</f>
        <v>3</v>
      </c>
    </row>
    <row r="16" customFormat="false" ht="15" hidden="false" customHeight="true" outlineLevel="0" collapsed="false">
      <c r="A16" s="84"/>
      <c r="B16" s="85"/>
      <c r="C16" s="86"/>
      <c r="D16" s="86"/>
      <c r="E16" s="87" t="str">
        <f aca="false">IF(OR(C16="",D16=""),"",C16*D16)</f>
        <v/>
      </c>
      <c r="F16" s="88" t="str">
        <f aca="false">IF(E16="","",IF(E16&gt;=8,"Critical",IF(E16&gt;=4,"Watch","Low")))</f>
        <v/>
      </c>
      <c r="G16" s="85"/>
      <c r="H16" s="89"/>
      <c r="I16" s="90"/>
      <c r="J16" s="89"/>
      <c r="K16" s="89"/>
      <c r="L16" s="89"/>
      <c r="M16" s="90"/>
      <c r="N16" s="84"/>
      <c r="O16" s="91"/>
      <c r="P16" s="92" t="str">
        <f aca="false">IF(OR(C16="",O16="",J16="Closed"),"",ROUND(CHOOSE(C16,0.1,0.35,0.65,0.9)*O16,1))</f>
        <v/>
      </c>
      <c r="Q16" s="93" t="str">
        <f aca="false">IF(OR(E16="",J16="Closed"),"",E16+N(P16)/1000+(100-ROW())/1000000)</f>
        <v/>
      </c>
      <c r="S16" s="42" t="s">
        <v>451</v>
      </c>
      <c r="T16" s="101" t="n">
        <f aca="false">COUNTIFS(E5:E34,"&lt;4",J5:J34,"&lt;&gt;Closed")</f>
        <v>1</v>
      </c>
    </row>
    <row r="17" customFormat="false" ht="15" hidden="false" customHeight="true" outlineLevel="0" collapsed="false">
      <c r="A17" s="84"/>
      <c r="B17" s="85"/>
      <c r="C17" s="86"/>
      <c r="D17" s="86"/>
      <c r="E17" s="87" t="str">
        <f aca="false">IF(OR(C17="",D17=""),"",C17*D17)</f>
        <v/>
      </c>
      <c r="F17" s="88" t="str">
        <f aca="false">IF(E17="","",IF(E17&gt;=8,"Critical",IF(E17&gt;=4,"Watch","Low")))</f>
        <v/>
      </c>
      <c r="G17" s="85"/>
      <c r="H17" s="89"/>
      <c r="I17" s="90"/>
      <c r="J17" s="89"/>
      <c r="K17" s="89"/>
      <c r="L17" s="89"/>
      <c r="M17" s="90"/>
      <c r="N17" s="84"/>
      <c r="O17" s="91"/>
      <c r="P17" s="92" t="str">
        <f aca="false">IF(OR(C17="",O17="",J17="Closed"),"",ROUND(CHOOSE(C17,0.1,0.35,0.65,0.9)*O17,1))</f>
        <v/>
      </c>
      <c r="Q17" s="93" t="str">
        <f aca="false">IF(OR(E17="",J17="Closed"),"",E17+N(P17)/1000+(100-ROW())/1000000)</f>
        <v/>
      </c>
    </row>
    <row r="18" customFormat="false" ht="15" hidden="false" customHeight="true" outlineLevel="0" collapsed="false">
      <c r="A18" s="84"/>
      <c r="B18" s="85"/>
      <c r="C18" s="86"/>
      <c r="D18" s="86"/>
      <c r="E18" s="87" t="str">
        <f aca="false">IF(OR(C18="",D18=""),"",C18*D18)</f>
        <v/>
      </c>
      <c r="F18" s="88" t="str">
        <f aca="false">IF(E18="","",IF(E18&gt;=8,"Critical",IF(E18&gt;=4,"Watch","Low")))</f>
        <v/>
      </c>
      <c r="G18" s="85"/>
      <c r="H18" s="89"/>
      <c r="I18" s="90"/>
      <c r="J18" s="89"/>
      <c r="K18" s="89"/>
      <c r="L18" s="89"/>
      <c r="M18" s="90"/>
      <c r="N18" s="84"/>
      <c r="O18" s="91"/>
      <c r="P18" s="92" t="str">
        <f aca="false">IF(OR(C18="",O18="",J18="Closed"),"",ROUND(CHOOSE(C18,0.1,0.35,0.65,0.9)*O18,1))</f>
        <v/>
      </c>
      <c r="Q18" s="93" t="str">
        <f aca="false">IF(OR(E18="",J18="Closed"),"",E18+N(P18)/1000+(100-ROW())/1000000)</f>
        <v/>
      </c>
      <c r="S18" s="21" t="s">
        <v>452</v>
      </c>
    </row>
    <row r="19" customFormat="false" ht="15" hidden="false" customHeight="true" outlineLevel="0" collapsed="false">
      <c r="A19" s="84"/>
      <c r="B19" s="85"/>
      <c r="C19" s="86"/>
      <c r="D19" s="86"/>
      <c r="E19" s="87" t="str">
        <f aca="false">IF(OR(C19="",D19=""),"",C19*D19)</f>
        <v/>
      </c>
      <c r="F19" s="88" t="str">
        <f aca="false">IF(E19="","",IF(E19&gt;=8,"Critical",IF(E19&gt;=4,"Watch","Low")))</f>
        <v/>
      </c>
      <c r="G19" s="85"/>
      <c r="H19" s="89"/>
      <c r="I19" s="90"/>
      <c r="J19" s="89"/>
      <c r="K19" s="89"/>
      <c r="L19" s="89"/>
      <c r="M19" s="90"/>
      <c r="N19" s="84"/>
      <c r="O19" s="91"/>
      <c r="P19" s="92" t="str">
        <f aca="false">IF(OR(C19="",O19="",J19="Closed"),"",ROUND(CHOOSE(C19,0.1,0.35,0.65,0.9)*O19,1))</f>
        <v/>
      </c>
      <c r="Q19" s="93" t="str">
        <f aca="false">IF(OR(E19="",J19="Closed"),"",E19+N(P19)/1000+(100-ROW())/1000000)</f>
        <v/>
      </c>
      <c r="S19" s="42" t="s">
        <v>453</v>
      </c>
      <c r="T19" s="47" t="n">
        <f aca="false">E38</f>
        <v>47.6</v>
      </c>
    </row>
    <row r="20" customFormat="false" ht="15" hidden="false" customHeight="true" outlineLevel="0" collapsed="false">
      <c r="A20" s="84"/>
      <c r="B20" s="85"/>
      <c r="C20" s="86"/>
      <c r="D20" s="86"/>
      <c r="E20" s="87" t="str">
        <f aca="false">IF(OR(C20="",D20=""),"",C20*D20)</f>
        <v/>
      </c>
      <c r="F20" s="88" t="str">
        <f aca="false">IF(E20="","",IF(E20&gt;=8,"Critical",IF(E20&gt;=4,"Watch","Low")))</f>
        <v/>
      </c>
      <c r="G20" s="85"/>
      <c r="H20" s="89"/>
      <c r="I20" s="90"/>
      <c r="J20" s="89"/>
      <c r="K20" s="89"/>
      <c r="L20" s="89"/>
      <c r="M20" s="90"/>
      <c r="N20" s="84"/>
      <c r="O20" s="91"/>
      <c r="P20" s="92" t="str">
        <f aca="false">IF(OR(C20="",O20="",J20="Closed"),"",ROUND(CHOOSE(C20,0.1,0.35,0.65,0.9)*O20,1))</f>
        <v/>
      </c>
      <c r="Q20" s="93" t="str">
        <f aca="false">IF(OR(E20="",J20="Closed"),"",E20+N(P20)/1000+(100-ROW())/1000000)</f>
        <v/>
      </c>
      <c r="S20" s="42" t="s">
        <v>454</v>
      </c>
      <c r="T20" s="47" t="n">
        <f aca="false">WBS!G60</f>
        <v>52.624</v>
      </c>
    </row>
    <row r="21" customFormat="false" ht="15" hidden="false" customHeight="true" outlineLevel="0" collapsed="false">
      <c r="A21" s="84"/>
      <c r="B21" s="85"/>
      <c r="C21" s="86"/>
      <c r="D21" s="86"/>
      <c r="E21" s="87" t="str">
        <f aca="false">IF(OR(C21="",D21=""),"",C21*D21)</f>
        <v/>
      </c>
      <c r="F21" s="88" t="str">
        <f aca="false">IF(E21="","",IF(E21&gt;=8,"Critical",IF(E21&gt;=4,"Watch","Low")))</f>
        <v/>
      </c>
      <c r="G21" s="85"/>
      <c r="H21" s="89"/>
      <c r="I21" s="90"/>
      <c r="J21" s="89"/>
      <c r="K21" s="89"/>
      <c r="L21" s="89"/>
      <c r="M21" s="90"/>
      <c r="N21" s="84"/>
      <c r="O21" s="91"/>
      <c r="P21" s="92" t="str">
        <f aca="false">IF(OR(C21="",O21="",J21="Closed"),"",ROUND(CHOOSE(C21,0.1,0.35,0.65,0.9)*O21,1))</f>
        <v/>
      </c>
      <c r="Q21" s="93" t="str">
        <f aca="false">IF(OR(E21="",J21="Closed"),"",E21+N(P21)/1000+(100-ROW())/1000000)</f>
        <v/>
      </c>
      <c r="S21" s="51" t="s">
        <v>455</v>
      </c>
      <c r="T21" s="56" t="n">
        <f aca="false">IF(N(T19)=0,"",T20/T19)</f>
        <v>1.1055462184874</v>
      </c>
    </row>
    <row r="22" customFormat="false" ht="15" hidden="false" customHeight="true" outlineLevel="0" collapsed="false">
      <c r="A22" s="84"/>
      <c r="B22" s="85"/>
      <c r="C22" s="86"/>
      <c r="D22" s="86"/>
      <c r="E22" s="87" t="str">
        <f aca="false">IF(OR(C22="",D22=""),"",C22*D22)</f>
        <v/>
      </c>
      <c r="F22" s="88" t="str">
        <f aca="false">IF(E22="","",IF(E22&gt;=8,"Critical",IF(E22&gt;=4,"Watch","Low")))</f>
        <v/>
      </c>
      <c r="G22" s="85"/>
      <c r="H22" s="89"/>
      <c r="I22" s="90"/>
      <c r="J22" s="89"/>
      <c r="K22" s="89"/>
      <c r="L22" s="89"/>
      <c r="M22" s="90"/>
      <c r="N22" s="84"/>
      <c r="O22" s="91"/>
      <c r="P22" s="92" t="str">
        <f aca="false">IF(OR(C22="",O22="",J22="Closed"),"",ROUND(CHOOSE(C22,0.1,0.35,0.65,0.9)*O22,1))</f>
        <v/>
      </c>
      <c r="Q22" s="93" t="str">
        <f aca="false">IF(OR(E22="",J22="Closed"),"",E22+N(P22)/1000+(100-ROW())/1000000)</f>
        <v/>
      </c>
      <c r="S22" s="42" t="s">
        <v>456</v>
      </c>
      <c r="T22" s="102" t="str">
        <f aca="false">IF(N(T20)=0,"No contingency in the WBS",IF(N(T19)=0,"",IF(T20&gt;=T19,"The contingency covers the calculated exposure","Contingency too low: raise it or deal with some risks")))</f>
        <v>The contingency covers the calculated exposure</v>
      </c>
      <c r="U22" s="102"/>
      <c r="V22" s="102"/>
      <c r="W22" s="102"/>
      <c r="X22" s="102"/>
      <c r="Y22" s="102"/>
    </row>
    <row r="23" customFormat="false" ht="15" hidden="false" customHeight="true" outlineLevel="0" collapsed="false">
      <c r="A23" s="84"/>
      <c r="B23" s="85"/>
      <c r="C23" s="86"/>
      <c r="D23" s="86"/>
      <c r="E23" s="87" t="str">
        <f aca="false">IF(OR(C23="",D23=""),"",C23*D23)</f>
        <v/>
      </c>
      <c r="F23" s="88" t="str">
        <f aca="false">IF(E23="","",IF(E23&gt;=8,"Critical",IF(E23&gt;=4,"Watch","Low")))</f>
        <v/>
      </c>
      <c r="G23" s="85"/>
      <c r="H23" s="89"/>
      <c r="I23" s="90"/>
      <c r="J23" s="89"/>
      <c r="K23" s="89"/>
      <c r="L23" s="89"/>
      <c r="M23" s="90"/>
      <c r="N23" s="84"/>
      <c r="O23" s="91"/>
      <c r="P23" s="92" t="str">
        <f aca="false">IF(OR(C23="",O23="",J23="Closed"),"",ROUND(CHOOSE(C23,0.1,0.35,0.65,0.9)*O23,1))</f>
        <v/>
      </c>
      <c r="Q23" s="93" t="str">
        <f aca="false">IF(OR(E23="",J23="Closed"),"",E23+N(P23)/1000+(100-ROW())/1000000)</f>
        <v/>
      </c>
      <c r="S23" s="34" t="s">
        <v>457</v>
      </c>
    </row>
    <row r="24" customFormat="false" ht="15" hidden="false" customHeight="true" outlineLevel="0" collapsed="false">
      <c r="A24" s="84"/>
      <c r="B24" s="85"/>
      <c r="C24" s="86"/>
      <c r="D24" s="86"/>
      <c r="E24" s="87" t="str">
        <f aca="false">IF(OR(C24="",D24=""),"",C24*D24)</f>
        <v/>
      </c>
      <c r="F24" s="88" t="str">
        <f aca="false">IF(E24="","",IF(E24&gt;=8,"Critical",IF(E24&gt;=4,"Watch","Low")))</f>
        <v/>
      </c>
      <c r="G24" s="85"/>
      <c r="H24" s="89"/>
      <c r="I24" s="90"/>
      <c r="J24" s="89"/>
      <c r="K24" s="89"/>
      <c r="L24" s="89"/>
      <c r="M24" s="90"/>
      <c r="N24" s="84"/>
      <c r="O24" s="91"/>
      <c r="P24" s="92" t="str">
        <f aca="false">IF(OR(C24="",O24="",J24="Closed"),"",ROUND(CHOOSE(C24,0.1,0.35,0.65,0.9)*O24,1))</f>
        <v/>
      </c>
      <c r="Q24" s="93" t="str">
        <f aca="false">IF(OR(E24="",J24="Closed"),"",E24+N(P24)/1000+(100-ROW())/1000000)</f>
        <v/>
      </c>
    </row>
    <row r="25" customFormat="false" ht="15" hidden="false" customHeight="true" outlineLevel="0" collapsed="false">
      <c r="A25" s="84"/>
      <c r="B25" s="85"/>
      <c r="C25" s="86"/>
      <c r="D25" s="86"/>
      <c r="E25" s="87" t="str">
        <f aca="false">IF(OR(C25="",D25=""),"",C25*D25)</f>
        <v/>
      </c>
      <c r="F25" s="88" t="str">
        <f aca="false">IF(E25="","",IF(E25&gt;=8,"Critical",IF(E25&gt;=4,"Watch","Low")))</f>
        <v/>
      </c>
      <c r="G25" s="85"/>
      <c r="H25" s="89"/>
      <c r="I25" s="90"/>
      <c r="J25" s="89"/>
      <c r="K25" s="89"/>
      <c r="L25" s="89"/>
      <c r="M25" s="90"/>
      <c r="N25" s="84"/>
      <c r="O25" s="91"/>
      <c r="P25" s="92" t="str">
        <f aca="false">IF(OR(C25="",O25="",J25="Closed"),"",ROUND(CHOOSE(C25,0.1,0.35,0.65,0.9)*O25,1))</f>
        <v/>
      </c>
      <c r="Q25" s="93" t="str">
        <f aca="false">IF(OR(E25="",J25="Closed"),"",E25+N(P25)/1000+(100-ROW())/1000000)</f>
        <v/>
      </c>
      <c r="S25" s="21" t="s">
        <v>458</v>
      </c>
    </row>
    <row r="26" customFormat="false" ht="23.25" hidden="false" customHeight="true" outlineLevel="0" collapsed="false">
      <c r="A26" s="84"/>
      <c r="B26" s="85"/>
      <c r="C26" s="86"/>
      <c r="D26" s="86"/>
      <c r="E26" s="87" t="str">
        <f aca="false">IF(OR(C26="",D26=""),"",C26*D26)</f>
        <v/>
      </c>
      <c r="F26" s="88" t="str">
        <f aca="false">IF(E26="","",IF(E26&gt;=8,"Critical",IF(E26&gt;=4,"Watch","Low")))</f>
        <v/>
      </c>
      <c r="G26" s="85"/>
      <c r="H26" s="89"/>
      <c r="I26" s="90"/>
      <c r="J26" s="89"/>
      <c r="K26" s="89"/>
      <c r="L26" s="89"/>
      <c r="M26" s="90"/>
      <c r="N26" s="84"/>
      <c r="O26" s="91"/>
      <c r="P26" s="92" t="str">
        <f aca="false">IF(OR(C26="",O26="",J26="Closed"),"",ROUND(CHOOSE(C26,0.1,0.35,0.65,0.9)*O26,1))</f>
        <v/>
      </c>
      <c r="Q26" s="93" t="str">
        <f aca="false">IF(OR(E26="",J26="Closed"),"",E26+N(P26)/1000+(100-ROW())/1000000)</f>
        <v/>
      </c>
      <c r="S26" s="22" t="s">
        <v>459</v>
      </c>
      <c r="T26" s="22" t="s">
        <v>178</v>
      </c>
      <c r="U26" s="22" t="s">
        <v>460</v>
      </c>
      <c r="V26" s="22" t="s">
        <v>399</v>
      </c>
      <c r="W26" s="22" t="s">
        <v>400</v>
      </c>
      <c r="X26" s="22" t="s">
        <v>461</v>
      </c>
    </row>
    <row r="27" customFormat="false" ht="15" hidden="false" customHeight="true" outlineLevel="0" collapsed="false">
      <c r="A27" s="84"/>
      <c r="B27" s="85"/>
      <c r="C27" s="86"/>
      <c r="D27" s="86"/>
      <c r="E27" s="87" t="str">
        <f aca="false">IF(OR(C27="",D27=""),"",C27*D27)</f>
        <v/>
      </c>
      <c r="F27" s="88" t="str">
        <f aca="false">IF(E27="","",IF(E27&gt;=8,"Critical",IF(E27&gt;=4,"Watch","Low")))</f>
        <v/>
      </c>
      <c r="G27" s="85"/>
      <c r="H27" s="89"/>
      <c r="I27" s="90"/>
      <c r="J27" s="89"/>
      <c r="K27" s="89"/>
      <c r="L27" s="89"/>
      <c r="M27" s="90"/>
      <c r="N27" s="84"/>
      <c r="O27" s="91"/>
      <c r="P27" s="92" t="str">
        <f aca="false">IF(OR(C27="",O27="",J27="Closed"),"",ROUND(CHOOSE(C27,0.1,0.35,0.65,0.9)*O27,1))</f>
        <v/>
      </c>
      <c r="Q27" s="93" t="str">
        <f aca="false">IF(OR(E27="",J27="Closed"),"",E27+N(P27)/1000+(100-ROW())/1000000)</f>
        <v/>
      </c>
      <c r="S27" s="103" t="n">
        <v>1</v>
      </c>
      <c r="T27" s="42" t="str">
        <f aca="false">IFERROR(INDEX($A$5:$A$34,MATCH(LARGE($Q$5:$Q$34,1),$Q$5:$Q$34,0)),"")</f>
        <v>R01</v>
      </c>
      <c r="U27" s="67" t="n">
        <f aca="false">IFERROR(INDEX($E$5:$E$34,MATCH(LARGE($Q$5:$Q$34,1),$Q$5:$Q$34,0)),"")</f>
        <v>12</v>
      </c>
      <c r="V27" s="42" t="str">
        <f aca="false">IFERROR(INDEX($H$5:$H$34,MATCH(LARGE($Q$5:$Q$34,1),$Q$5:$Q$34,0)),"")</f>
        <v>Noé</v>
      </c>
      <c r="W27" s="65" t="n">
        <f aca="false">IFERROR(INDEX($I$5:$I$34,MATCH(LARGE($Q$5:$Q$34,1),$Q$5:$Q$34,0)),"")</f>
        <v>46538</v>
      </c>
      <c r="X27" s="42" t="str">
        <f aca="false">IFERROR(INDEX($B$5:$B$34,MATCH(LARGE($Q$5:$Q$34,1),$Q$5:$Q$34,0)),"")</f>
        <v>The demo gets built in June, the month when Léa and Noé are already above 100% in the workload. If it isn't frozen in time, it crashes for players during Next Fest and the reviews stay on the page.</v>
      </c>
      <c r="Y27" s="42"/>
    </row>
    <row r="28" customFormat="false" ht="15" hidden="false" customHeight="true" outlineLevel="0" collapsed="false">
      <c r="A28" s="84"/>
      <c r="B28" s="85"/>
      <c r="C28" s="86"/>
      <c r="D28" s="86"/>
      <c r="E28" s="87" t="str">
        <f aca="false">IF(OR(C28="",D28=""),"",C28*D28)</f>
        <v/>
      </c>
      <c r="F28" s="88" t="str">
        <f aca="false">IF(E28="","",IF(E28&gt;=8,"Critical",IF(E28&gt;=4,"Watch","Low")))</f>
        <v/>
      </c>
      <c r="G28" s="85"/>
      <c r="H28" s="89"/>
      <c r="I28" s="90"/>
      <c r="J28" s="89"/>
      <c r="K28" s="89"/>
      <c r="L28" s="89"/>
      <c r="M28" s="90"/>
      <c r="N28" s="84"/>
      <c r="O28" s="91"/>
      <c r="P28" s="92" t="str">
        <f aca="false">IF(OR(C28="",O28="",J28="Closed"),"",ROUND(CHOOSE(C28,0.1,0.35,0.65,0.9)*O28,1))</f>
        <v/>
      </c>
      <c r="Q28" s="93" t="str">
        <f aca="false">IF(OR(E28="",J28="Closed"),"",E28+N(P28)/1000+(100-ROW())/1000000)</f>
        <v/>
      </c>
      <c r="S28" s="103" t="n">
        <v>2</v>
      </c>
      <c r="T28" s="42" t="str">
        <f aca="false">IFERROR(INDEX($A$5:$A$34,MATCH(LARGE($Q$5:$Q$34,2),$Q$5:$Q$34,0)),"")</f>
        <v>R03</v>
      </c>
      <c r="U28" s="67" t="n">
        <f aca="false">IFERROR(INDEX($E$5:$E$34,MATCH(LARGE($Q$5:$Q$34,2),$Q$5:$Q$34,0)),"")</f>
        <v>9</v>
      </c>
      <c r="V28" s="42" t="str">
        <f aca="false">IFERROR(INDEX($H$5:$H$34,MATCH(LARGE($Q$5:$Q$34,2),$Q$5:$Q$34,0)),"")</f>
        <v>Noé</v>
      </c>
      <c r="W28" s="65" t="n">
        <f aca="false">IFERROR(INDEX($I$5:$I$34,MATCH(LARGE($Q$5:$Q$34,2),$Q$5:$Q$34,0)),"")</f>
        <v>46461</v>
      </c>
      <c r="X28" s="42" t="str">
        <f aca="false">IFERROR(INDEX($B$5:$B$34,MATCH(LARGE($Q$5:$Q$34,2),$Q$5:$Q$34,0)),"")</f>
        <v>The regional grant is approved but paid late. We're about €30,000 short to pay for the summer.</v>
      </c>
      <c r="Y28" s="42"/>
    </row>
    <row r="29" customFormat="false" ht="15" hidden="false" customHeight="true" outlineLevel="0" collapsed="false">
      <c r="A29" s="84"/>
      <c r="B29" s="85"/>
      <c r="C29" s="86"/>
      <c r="D29" s="86"/>
      <c r="E29" s="87" t="str">
        <f aca="false">IF(OR(C29="",D29=""),"",C29*D29)</f>
        <v/>
      </c>
      <c r="F29" s="88" t="str">
        <f aca="false">IF(E29="","",IF(E29&gt;=8,"Critical",IF(E29&gt;=4,"Watch","Low")))</f>
        <v/>
      </c>
      <c r="G29" s="85"/>
      <c r="H29" s="89"/>
      <c r="I29" s="90"/>
      <c r="J29" s="89"/>
      <c r="K29" s="89"/>
      <c r="L29" s="89"/>
      <c r="M29" s="90"/>
      <c r="N29" s="84"/>
      <c r="O29" s="91"/>
      <c r="P29" s="92" t="str">
        <f aca="false">IF(OR(C29="",O29="",J29="Closed"),"",ROUND(CHOOSE(C29,0.1,0.35,0.65,0.9)*O29,1))</f>
        <v/>
      </c>
      <c r="Q29" s="93" t="str">
        <f aca="false">IF(OR(E29="",J29="Closed"),"",E29+N(P29)/1000+(100-ROW())/1000000)</f>
        <v/>
      </c>
      <c r="S29" s="103" t="n">
        <v>3</v>
      </c>
      <c r="T29" s="42" t="str">
        <f aca="false">IFERROR(INDEX($A$5:$A$34,MATCH(LARGE($Q$5:$Q$34,3),$Q$5:$Q$34,0)),"")</f>
        <v>R04</v>
      </c>
      <c r="U29" s="67" t="n">
        <f aca="false">IFERROR(INDEX($E$5:$E$34,MATCH(LARGE($Q$5:$Q$34,3),$Q$5:$Q$34,0)),"")</f>
        <v>8</v>
      </c>
      <c r="V29" s="42" t="str">
        <f aca="false">IFERROR(INDEX($H$5:$H$34,MATCH(LARGE($Q$5:$Q$34,3),$Q$5:$Q$34,0)),"")</f>
        <v>Noé</v>
      </c>
      <c r="W29" s="65" t="n">
        <f aca="false">IFERROR(INDEX($I$5:$I$34,MATCH(LARGE($Q$5:$Q$34,3),$Q$5:$Q$34,0)),"")</f>
        <v>46416</v>
      </c>
      <c r="X29" s="42" t="str">
        <f aca="false">IFERROR(INDEX($B$5:$B$34,MATCH(LARGE($Q$5:$Q$34,3),$Q$5:$Q$34,0)),"")</f>
        <v>Léa is the only one who knows the code. If she stops for several weeks, production stops and the release slips by as much.</v>
      </c>
      <c r="Y29" s="42"/>
    </row>
    <row r="30" customFormat="false" ht="15" hidden="false" customHeight="true" outlineLevel="0" collapsed="false">
      <c r="A30" s="84"/>
      <c r="B30" s="85"/>
      <c r="C30" s="86"/>
      <c r="D30" s="86"/>
      <c r="E30" s="87" t="str">
        <f aca="false">IF(OR(C30="",D30=""),"",C30*D30)</f>
        <v/>
      </c>
      <c r="F30" s="88" t="str">
        <f aca="false">IF(E30="","",IF(E30&gt;=8,"Critical",IF(E30&gt;=4,"Watch","Low")))</f>
        <v/>
      </c>
      <c r="G30" s="85"/>
      <c r="H30" s="89"/>
      <c r="I30" s="90"/>
      <c r="J30" s="89"/>
      <c r="K30" s="89"/>
      <c r="L30" s="89"/>
      <c r="M30" s="90"/>
      <c r="N30" s="84"/>
      <c r="O30" s="91"/>
      <c r="P30" s="92" t="str">
        <f aca="false">IF(OR(C30="",O30="",J30="Closed"),"",ROUND(CHOOSE(C30,0.1,0.35,0.65,0.9)*O30,1))</f>
        <v/>
      </c>
      <c r="Q30" s="93" t="str">
        <f aca="false">IF(OR(E30="",J30="Closed"),"",E30+N(P30)/1000+(100-ROW())/1000000)</f>
        <v/>
      </c>
      <c r="S30" s="103" t="n">
        <v>4</v>
      </c>
      <c r="T30" s="42" t="str">
        <f aca="false">IFERROR(INDEX($A$5:$A$34,MATCH(LARGE($Q$5:$Q$34,4),$Q$5:$Q$34,0)),"")</f>
        <v>R05</v>
      </c>
      <c r="U30" s="67" t="n">
        <f aca="false">IFERROR(INDEX($E$5:$E$34,MATCH(LARGE($Q$5:$Q$34,4),$Q$5:$Q$34,0)),"")</f>
        <v>6</v>
      </c>
      <c r="V30" s="42" t="str">
        <f aca="false">IFERROR(INDEX($H$5:$H$34,MATCH(LARGE($Q$5:$Q$34,4),$Q$5:$Q$34,0)),"")</f>
        <v>Noé</v>
      </c>
      <c r="W30" s="65" t="n">
        <f aca="false">IFERROR(INDEX($I$5:$I$34,MATCH(LARGE($Q$5:$Q$34,4),$Q$5:$Q$34,0)),"")</f>
        <v>46402</v>
      </c>
      <c r="X30" s="42" t="str">
        <f aca="false">IFERROR(INDEX($B$5:$B$34,MATCH(LARGE($Q$5:$Q$34,4),$Q$5:$Q$34,0)),"")</f>
        <v>Every playtest adds a mechanic. Level design goes from 4.5 to 6.5 days per level and production spills into polish.</v>
      </c>
      <c r="Y30" s="42"/>
    </row>
    <row r="31" customFormat="false" ht="15" hidden="false" customHeight="true" outlineLevel="0" collapsed="false">
      <c r="A31" s="84"/>
      <c r="B31" s="85"/>
      <c r="C31" s="86"/>
      <c r="D31" s="86"/>
      <c r="E31" s="87" t="str">
        <f aca="false">IF(OR(C31="",D31=""),"",C31*D31)</f>
        <v/>
      </c>
      <c r="F31" s="88" t="str">
        <f aca="false">IF(E31="","",IF(E31&gt;=8,"Critical",IF(E31&gt;=4,"Watch","Low")))</f>
        <v/>
      </c>
      <c r="G31" s="85"/>
      <c r="H31" s="89"/>
      <c r="I31" s="90"/>
      <c r="J31" s="89"/>
      <c r="K31" s="89"/>
      <c r="L31" s="89"/>
      <c r="M31" s="90"/>
      <c r="N31" s="84"/>
      <c r="O31" s="91"/>
      <c r="P31" s="92" t="str">
        <f aca="false">IF(OR(C31="",O31="",J31="Closed"),"",ROUND(CHOOSE(C31,0.1,0.35,0.65,0.9)*O31,1))</f>
        <v/>
      </c>
      <c r="Q31" s="93" t="str">
        <f aca="false">IF(OR(E31="",J31="Closed"),"",E31+N(P31)/1000+(100-ROW())/1000000)</f>
        <v/>
      </c>
      <c r="S31" s="103" t="n">
        <v>5</v>
      </c>
      <c r="T31" s="42" t="str">
        <f aca="false">IFERROR(INDEX($A$5:$A$34,MATCH(LARGE($Q$5:$Q$34,5),$Q$5:$Q$34,0)),"")</f>
        <v>R02</v>
      </c>
      <c r="U31" s="67" t="n">
        <f aca="false">IFERROR(INDEX($E$5:$E$34,MATCH(LARGE($Q$5:$Q$34,5),$Q$5:$Q$34,0)),"")</f>
        <v>6</v>
      </c>
      <c r="V31" s="42" t="str">
        <f aca="false">IFERROR(INDEX($H$5:$H$34,MATCH(LARGE($Q$5:$Q$34,5),$Q$5:$Q$34,0)),"")</f>
        <v>Sam</v>
      </c>
      <c r="W31" s="65" t="n">
        <f aca="false">IFERROR(INDEX($I$5:$I$34,MATCH(LARGE($Q$5:$Q$34,5),$Q$5:$Q$34,0)),"")</f>
        <v>46444</v>
      </c>
      <c r="X31" s="42" t="str">
        <f aca="false">IFERROR(INDEX($B$5:$B$34,MATCH(LARGE($Q$5:$Q$34,5),$Q$5:$Q$34,0)),"")</f>
        <v>The capsule freelancer delivers after the end of February. The Steam page opens after March 15 and reaches Next Fest with fewer wishlists.</v>
      </c>
      <c r="Y31" s="42"/>
    </row>
    <row r="32" customFormat="false" ht="15" hidden="false" customHeight="true" outlineLevel="0" collapsed="false">
      <c r="A32" s="84"/>
      <c r="B32" s="85"/>
      <c r="C32" s="86"/>
      <c r="D32" s="86"/>
      <c r="E32" s="87" t="str">
        <f aca="false">IF(OR(C32="",D32=""),"",C32*D32)</f>
        <v/>
      </c>
      <c r="F32" s="88" t="str">
        <f aca="false">IF(E32="","",IF(E32&gt;=8,"Critical",IF(E32&gt;=4,"Watch","Low")))</f>
        <v/>
      </c>
      <c r="G32" s="85"/>
      <c r="H32" s="89"/>
      <c r="I32" s="90"/>
      <c r="J32" s="89"/>
      <c r="K32" s="89"/>
      <c r="L32" s="89"/>
      <c r="M32" s="90"/>
      <c r="N32" s="84"/>
      <c r="O32" s="91"/>
      <c r="P32" s="92" t="str">
        <f aca="false">IF(OR(C32="",O32="",J32="Closed"),"",ROUND(CHOOSE(C32,0.1,0.35,0.65,0.9)*O32,1))</f>
        <v/>
      </c>
      <c r="Q32" s="93" t="str">
        <f aca="false">IF(OR(E32="",J32="Closed"),"",E32+N(P32)/1000+(100-ROW())/1000000)</f>
        <v/>
      </c>
    </row>
    <row r="33" customFormat="false" ht="15" hidden="false" customHeight="true" outlineLevel="0" collapsed="false">
      <c r="A33" s="84"/>
      <c r="B33" s="85"/>
      <c r="C33" s="86"/>
      <c r="D33" s="86"/>
      <c r="E33" s="87" t="str">
        <f aca="false">IF(OR(C33="",D33=""),"",C33*D33)</f>
        <v/>
      </c>
      <c r="F33" s="88" t="str">
        <f aca="false">IF(E33="","",IF(E33&gt;=8,"Critical",IF(E33&gt;=4,"Watch","Low")))</f>
        <v/>
      </c>
      <c r="G33" s="85"/>
      <c r="H33" s="89"/>
      <c r="I33" s="90"/>
      <c r="J33" s="89"/>
      <c r="K33" s="89"/>
      <c r="L33" s="89"/>
      <c r="M33" s="90"/>
      <c r="N33" s="84"/>
      <c r="O33" s="91"/>
      <c r="P33" s="92" t="str">
        <f aca="false">IF(OR(C33="",O33="",J33="Closed"),"",ROUND(CHOOSE(C33,0.1,0.35,0.65,0.9)*O33,1))</f>
        <v/>
      </c>
      <c r="Q33" s="93" t="str">
        <f aca="false">IF(OR(E33="",J33="Closed"),"",E33+N(P33)/1000+(100-ROW())/1000000)</f>
        <v/>
      </c>
      <c r="S33" s="21" t="s">
        <v>462</v>
      </c>
    </row>
    <row r="34" customFormat="false" ht="15" hidden="false" customHeight="true" outlineLevel="0" collapsed="false">
      <c r="A34" s="84"/>
      <c r="B34" s="85"/>
      <c r="C34" s="86"/>
      <c r="D34" s="86"/>
      <c r="E34" s="87" t="str">
        <f aca="false">IF(OR(C34="",D34=""),"",C34*D34)</f>
        <v/>
      </c>
      <c r="F34" s="88" t="str">
        <f aca="false">IF(E34="","",IF(E34&gt;=8,"Critical",IF(E34&gt;=4,"Watch","Low")))</f>
        <v/>
      </c>
      <c r="G34" s="85"/>
      <c r="H34" s="89"/>
      <c r="I34" s="90"/>
      <c r="J34" s="89"/>
      <c r="K34" s="89"/>
      <c r="L34" s="89"/>
      <c r="M34" s="90"/>
      <c r="N34" s="84"/>
      <c r="O34" s="91"/>
      <c r="P34" s="92" t="str">
        <f aca="false">IF(OR(C34="",O34="",J34="Closed"),"",ROUND(CHOOSE(C34,0.1,0.35,0.65,0.9)*O34,1))</f>
        <v/>
      </c>
      <c r="Q34" s="93" t="str">
        <f aca="false">IF(OR(E34="",J34="Closed"),"",E34+N(P34)/1000+(100-ROW())/1000000)</f>
        <v/>
      </c>
      <c r="S34" s="22" t="s">
        <v>463</v>
      </c>
      <c r="T34" s="22" t="s">
        <v>464</v>
      </c>
    </row>
    <row r="35" customFormat="false" ht="15" hidden="false" customHeight="true" outlineLevel="0" collapsed="false">
      <c r="S35" s="42" t="s">
        <v>465</v>
      </c>
      <c r="T35" s="103" t="n">
        <v>1</v>
      </c>
    </row>
    <row r="36" customFormat="false" ht="15" hidden="false" customHeight="true" outlineLevel="0" collapsed="false">
      <c r="B36" s="51" t="s">
        <v>448</v>
      </c>
      <c r="E36" s="104" t="n">
        <f aca="false">SUMPRODUCT((A5:A34&lt;&gt;"")*(J5:J34&lt;&gt;"Closed"))</f>
        <v>7</v>
      </c>
      <c r="S36" s="42" t="s">
        <v>466</v>
      </c>
      <c r="T36" s="103" t="n">
        <v>2</v>
      </c>
    </row>
    <row r="37" customFormat="false" ht="15" hidden="false" customHeight="true" outlineLevel="0" collapsed="false">
      <c r="B37" s="51" t="s">
        <v>467</v>
      </c>
      <c r="E37" s="104" t="n">
        <f aca="false">COUNTIFS(E5:E34,"&gt;=8",J5:J34,"&lt;&gt;Closed")</f>
        <v>3</v>
      </c>
      <c r="S37" s="42" t="s">
        <v>468</v>
      </c>
      <c r="T37" s="103" t="n">
        <v>3</v>
      </c>
    </row>
    <row r="38" customFormat="false" ht="15" hidden="false" customHeight="true" outlineLevel="0" collapsed="false">
      <c r="B38" s="51" t="s">
        <v>453</v>
      </c>
      <c r="E38" s="75" t="n">
        <f aca="false">SUM(P5:P34)</f>
        <v>47.6</v>
      </c>
      <c r="S38" s="42" t="s">
        <v>469</v>
      </c>
      <c r="T38" s="103" t="n">
        <v>4</v>
      </c>
    </row>
    <row r="40" customFormat="false" ht="15" hidden="false" customHeight="true" outlineLevel="0" collapsed="false">
      <c r="B40" s="34" t="s">
        <v>470</v>
      </c>
      <c r="S40" s="22" t="s">
        <v>471</v>
      </c>
      <c r="T40" s="22" t="s">
        <v>464</v>
      </c>
    </row>
    <row r="41" customFormat="false" ht="25.5" hidden="false" customHeight="true" outlineLevel="0" collapsed="false">
      <c r="B41" s="34" t="s">
        <v>472</v>
      </c>
      <c r="S41" s="105" t="s">
        <v>473</v>
      </c>
      <c r="T41" s="103" t="n">
        <v>1</v>
      </c>
    </row>
    <row r="42" customFormat="false" ht="25.5" hidden="false" customHeight="true" outlineLevel="0" collapsed="false">
      <c r="B42" s="34" t="s">
        <v>474</v>
      </c>
      <c r="S42" s="105" t="s">
        <v>475</v>
      </c>
      <c r="T42" s="103" t="n">
        <v>2</v>
      </c>
    </row>
    <row r="43" customFormat="false" ht="25.5" hidden="false" customHeight="true" outlineLevel="0" collapsed="false">
      <c r="S43" s="105" t="s">
        <v>476</v>
      </c>
      <c r="T43" s="103" t="n">
        <v>3</v>
      </c>
    </row>
    <row r="44" customFormat="false" ht="25.5" hidden="false" customHeight="true" outlineLevel="0" collapsed="false">
      <c r="S44" s="105" t="s">
        <v>477</v>
      </c>
      <c r="T44" s="103" t="n">
        <v>4</v>
      </c>
    </row>
    <row r="45" customFormat="false" ht="15" hidden="false" customHeight="true" outlineLevel="0" collapsed="false">
      <c r="S45" s="34" t="s">
        <v>478</v>
      </c>
    </row>
  </sheetData>
  <mergeCells count="7">
    <mergeCell ref="S9:W10"/>
    <mergeCell ref="T22:Y22"/>
    <mergeCell ref="X27:Y27"/>
    <mergeCell ref="X28:Y28"/>
    <mergeCell ref="X29:Y29"/>
    <mergeCell ref="X30:Y30"/>
    <mergeCell ref="X31:Y31"/>
  </mergeCells>
  <conditionalFormatting sqref="E5:F34">
    <cfRule type="expression" priority="2" aboveAverage="0" equalAverage="0" bottom="0" percent="0" rank="0" text="" dxfId="9">
      <formula>AND(ISNUMBER($E5),$E5&gt;=8)</formula>
    </cfRule>
    <cfRule type="expression" priority="3" aboveAverage="0" equalAverage="0" bottom="0" percent="0" rank="0" text="" dxfId="1">
      <formula>AND(ISNUMBER($E5),$E5&gt;=4)</formula>
    </cfRule>
    <cfRule type="expression" priority="4" aboveAverage="0" equalAverage="0" bottom="0" percent="0" rank="0" text="" dxfId="2">
      <formula>ISNUMBER($E5)</formula>
    </cfRule>
  </conditionalFormatting>
  <conditionalFormatting sqref="I5:I34">
    <cfRule type="expression" priority="5" aboveAverage="0" equalAverage="0" bottom="0" percent="0" rank="0" text="" dxfId="0">
      <formula>AND(ISNUMBER(I5),I5&lt;TODAY(),$J5&lt;&gt;"Closed")</formula>
    </cfRule>
  </conditionalFormatting>
  <conditionalFormatting sqref="M5:M34">
    <cfRule type="expression" priority="6" aboveAverage="0" equalAverage="0" bottom="0" percent="0" rank="0" text="" dxfId="1">
      <formula>AND(ISNUMBER(M5),M5&lt;TODAY()-30,$J5&lt;&gt;"Closed")</formula>
    </cfRule>
  </conditionalFormatting>
  <conditionalFormatting sqref="T21">
    <cfRule type="expression" priority="7" aboveAverage="0" equalAverage="0" bottom="0" percent="0" rank="0" text="" dxfId="0">
      <formula>AND(ISNUMBER(T21),T21&lt;1)</formula>
    </cfRule>
    <cfRule type="expression" priority="8" aboveAverage="0" equalAverage="0" bottom="0" percent="0" rank="0" text="" dxfId="2">
      <formula>AND(ISNUMBER(T21),T21&gt;=1)</formula>
    </cfRule>
  </conditionalFormatting>
  <conditionalFormatting sqref="U27:U31">
    <cfRule type="expression" priority="9" aboveAverage="0" equalAverage="0" bottom="0" percent="0" rank="0" text="" dxfId="9">
      <formula>AND(ISNUMBER(U27),U27&gt;=8)</formula>
    </cfRule>
    <cfRule type="expression" priority="10" aboveAverage="0" equalAverage="0" bottom="0" percent="0" rank="0" text="" dxfId="1">
      <formula>AND(ISNUMBER(U27),U27&gt;=4)</formula>
    </cfRule>
    <cfRule type="expression" priority="11" aboveAverage="0" equalAverage="0" bottom="0" percent="0" rank="0" text="" dxfId="2">
      <formula>ISNUMBER(U27)</formula>
    </cfRule>
  </conditionalFormatting>
  <dataValidations count="6">
    <dataValidation allowBlank="true" errorStyle="stop" operator="greaterThan" showDropDown="false" showErrorMessage="false" showInputMessage="false" sqref="I5:I34 M5:M34" type="date">
      <formula1>1</formula1>
      <formula2>0</formula2>
    </dataValidation>
    <dataValidation allowBlank="true" errorStyle="stop" operator="between" showDropDown="false" showErrorMessage="false" showInputMessage="false" sqref="K5:K34" type="list">
      <formula1>"Team,Schedule,Tech,Platform,Funding,Market,Contractor,Quality,Scope"</formula1>
      <formula2>0</formula2>
    </dataValidation>
    <dataValidation allowBlank="true" errorStyle="stop" operator="between" showDropDown="false" showErrorMessage="false" showInputMessage="false" sqref="L5:L34" type="list">
      <formula1>"Avoid,Reduce,Transfer,Accept"</formula1>
      <formula2>0</formula2>
    </dataValidation>
    <dataValidation allowBlank="true" errorStyle="stop" operator="between" showDropDown="false" showErrorMessage="false" showInputMessage="false" sqref="J5:J34" type="list">
      <formula1>"Open,In progress,Closed"</formula1>
      <formula2>0</formula2>
    </dataValidation>
    <dataValidation allowBlank="true" errorStyle="stop" operator="between" showDropDown="false" showErrorMessage="false" showInputMessage="false" sqref="H5:H34" type="list">
      <formula1>Equipe</formula1>
      <formula2>0</formula2>
    </dataValidation>
    <dataValidation allowBlank="true" error="1, 2, 3 or 4" errorStyle="stop" operator="between" showDropDown="false" showErrorMessage="true" showInputMessage="false" sqref="C5:D34" type="whole">
      <formula1>1</formula1>
      <formula2>4</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3CCF3"/>
    <pageSetUpPr fitToPage="true"/>
  </sheetPr>
  <dimension ref="A1:N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13" min="2" style="1" width="11"/>
    <col collapsed="false" customWidth="true" hidden="false" outlineLevel="0" max="14" min="14" style="1" width="13"/>
  </cols>
  <sheetData>
    <row r="1" customFormat="false" ht="21.75" hidden="false" customHeight="true" outlineLevel="0" collapsed="false">
      <c r="A1" s="106" t="s">
        <v>479</v>
      </c>
    </row>
    <row r="2" customFormat="false" ht="21" hidden="false" customHeight="true" outlineLevel="0" collapsed="false">
      <c r="A2" s="18" t="s">
        <v>480</v>
      </c>
      <c r="B2" s="18"/>
      <c r="C2" s="18"/>
      <c r="D2" s="18"/>
      <c r="E2" s="18"/>
      <c r="F2" s="18"/>
      <c r="G2" s="18"/>
      <c r="H2" s="18"/>
      <c r="I2" s="18"/>
      <c r="J2" s="18"/>
      <c r="K2" s="18"/>
      <c r="L2" s="18"/>
      <c r="M2" s="18"/>
      <c r="N2" s="18"/>
    </row>
    <row r="3" customFormat="false" ht="15" hidden="false" customHeight="true" outlineLevel="0" collapsed="false">
      <c r="A3" s="36" t="s">
        <v>481</v>
      </c>
    </row>
    <row r="5" customFormat="false" ht="15" hidden="false" customHeight="true" outlineLevel="0" collapsed="false">
      <c r="A5" s="22" t="s">
        <v>363</v>
      </c>
      <c r="B5" s="70" t="n">
        <f aca="false">Workload!D4</f>
        <v>46327</v>
      </c>
      <c r="C5" s="70" t="n">
        <f aca="false">Workload!E4</f>
        <v>46357</v>
      </c>
      <c r="D5" s="70" t="n">
        <f aca="false">Workload!F4</f>
        <v>46388</v>
      </c>
      <c r="E5" s="70" t="n">
        <f aca="false">Workload!G4</f>
        <v>46419</v>
      </c>
      <c r="F5" s="70" t="n">
        <f aca="false">Workload!H4</f>
        <v>46447</v>
      </c>
      <c r="G5" s="70" t="n">
        <f aca="false">Workload!I4</f>
        <v>46478</v>
      </c>
      <c r="H5" s="70" t="n">
        <f aca="false">Workload!J4</f>
        <v>46508</v>
      </c>
      <c r="I5" s="70" t="n">
        <f aca="false">Workload!K4</f>
        <v>46539</v>
      </c>
      <c r="J5" s="70" t="n">
        <f aca="false">Workload!L4</f>
        <v>46569</v>
      </c>
      <c r="K5" s="70" t="n">
        <f aca="false">Workload!M4</f>
        <v>46600</v>
      </c>
      <c r="L5" s="70" t="n">
        <f aca="false">Workload!N4</f>
        <v>46631</v>
      </c>
      <c r="M5" s="70" t="n">
        <f aca="false">Workload!O4</f>
        <v>46661</v>
      </c>
      <c r="N5" s="22" t="s">
        <v>364</v>
      </c>
    </row>
    <row r="6" customFormat="false" ht="15" hidden="false" customHeight="true" outlineLevel="0" collapsed="false">
      <c r="A6" s="42" t="s">
        <v>482</v>
      </c>
      <c r="B6" s="46" t="n">
        <f aca="false">SUM(B37:B45)</f>
        <v>15124.1447368421</v>
      </c>
      <c r="C6" s="46" t="n">
        <f aca="false">SUM(C37:C45)</f>
        <v>13611.7302631579</v>
      </c>
      <c r="D6" s="46" t="n">
        <f aca="false">SUM(D37:D45)</f>
        <v>15471.2063040063</v>
      </c>
      <c r="E6" s="46" t="n">
        <f aca="false">SUM(E37:E45)</f>
        <v>15818.2678711705</v>
      </c>
      <c r="F6" s="46" t="n">
        <f aca="false">SUM(F37:F45)</f>
        <v>16300.0946582875</v>
      </c>
      <c r="G6" s="46" t="n">
        <f aca="false">SUM(G37:G45)</f>
        <v>15200.0946582875</v>
      </c>
      <c r="H6" s="46" t="n">
        <f aca="false">SUM(H37:H45)</f>
        <v>15741.6401918977</v>
      </c>
      <c r="I6" s="46" t="n">
        <f aca="false">SUM(I37:I45)</f>
        <v>21735.8089440018</v>
      </c>
      <c r="J6" s="46" t="n">
        <f aca="false">SUM(J37:J45)</f>
        <v>14525.1222121657</v>
      </c>
      <c r="K6" s="46" t="n">
        <f aca="false">SUM(K37:K45)</f>
        <v>8386.60640732265</v>
      </c>
      <c r="L6" s="46" t="n">
        <f aca="false">SUM(L37:L45)</f>
        <v>15375.4450800915</v>
      </c>
      <c r="M6" s="46" t="n">
        <f aca="false">SUM(M37:M45)</f>
        <v>6988.83867276888</v>
      </c>
      <c r="N6" s="53" t="n">
        <f aca="false">SUM(B6:M6)</f>
        <v>174279</v>
      </c>
    </row>
    <row r="7" customFormat="false" ht="15" hidden="false" customHeight="true" outlineLevel="0" collapsed="false">
      <c r="A7" s="51" t="s">
        <v>483</v>
      </c>
      <c r="B7" s="53" t="n">
        <f aca="false">B6</f>
        <v>15124.1447368421</v>
      </c>
      <c r="C7" s="53" t="n">
        <f aca="false">B7+C6</f>
        <v>28735.875</v>
      </c>
      <c r="D7" s="53" t="n">
        <f aca="false">C7+D6</f>
        <v>44207.0813040063</v>
      </c>
      <c r="E7" s="53" t="n">
        <f aca="false">D7+E6</f>
        <v>60025.3491751768</v>
      </c>
      <c r="F7" s="53" t="n">
        <f aca="false">E7+F6</f>
        <v>76325.4438334643</v>
      </c>
      <c r="G7" s="53" t="n">
        <f aca="false">F7+G6</f>
        <v>91525.5384917518</v>
      </c>
      <c r="H7" s="53" t="n">
        <f aca="false">G7+H6</f>
        <v>107267.178683649</v>
      </c>
      <c r="I7" s="53" t="n">
        <f aca="false">H7+I6</f>
        <v>129002.987627651</v>
      </c>
      <c r="J7" s="53" t="n">
        <f aca="false">I7+J6</f>
        <v>143528.109839817</v>
      </c>
      <c r="K7" s="53" t="n">
        <f aca="false">J7+K6</f>
        <v>151914.71624714</v>
      </c>
      <c r="L7" s="53" t="n">
        <f aca="false">K7+L6</f>
        <v>167290.161327231</v>
      </c>
      <c r="M7" s="53" t="n">
        <f aca="false">L7+M6</f>
        <v>174279</v>
      </c>
    </row>
    <row r="8" customFormat="false" ht="15" hidden="false" customHeight="true" outlineLevel="0" collapsed="false">
      <c r="A8" s="42" t="s">
        <v>484</v>
      </c>
      <c r="N8" s="46" t="n">
        <f aca="false">WBS!H60</f>
        <v>17427.9</v>
      </c>
    </row>
    <row r="9" customFormat="false" ht="15" hidden="false" customHeight="true" outlineLevel="0" collapsed="false">
      <c r="A9" s="51" t="s">
        <v>485</v>
      </c>
      <c r="N9" s="53" t="n">
        <f aca="false">N6+N8</f>
        <v>191706.9</v>
      </c>
    </row>
    <row r="10" customFormat="false" ht="15" hidden="false" customHeight="true" outlineLevel="0" collapsed="false">
      <c r="A10" s="42" t="s">
        <v>486</v>
      </c>
      <c r="B10" s="72" t="n">
        <f aca="false">IF(N($N$9)=0,"",B7/$N$9)</f>
        <v>0.0788920207715116</v>
      </c>
      <c r="C10" s="72" t="n">
        <f aca="false">IF(N($N$9)=0,"",C7/$N$9)</f>
        <v>0.149894839465872</v>
      </c>
      <c r="D10" s="72" t="n">
        <f aca="false">IF(N($N$9)=0,"",D7/$N$9)</f>
        <v>0.230597236218447</v>
      </c>
      <c r="E10" s="72" t="n">
        <f aca="false">IF(N($N$9)=0,"",E7/$N$9)</f>
        <v>0.313110008952087</v>
      </c>
      <c r="F10" s="72" t="n">
        <f aca="false">IF(N($N$9)=0,"",F7/$N$9)</f>
        <v>0.39813613298981</v>
      </c>
      <c r="G10" s="72" t="n">
        <f aca="false">IF(N($N$9)=0,"",G7/$N$9)</f>
        <v>0.477424331058255</v>
      </c>
      <c r="H10" s="72" t="n">
        <f aca="false">IF(N($N$9)=0,"",H7/$N$9)</f>
        <v>0.559537391109289</v>
      </c>
      <c r="I10" s="72" t="n">
        <f aca="false">IF(N($N$9)=0,"",I7/$N$9)</f>
        <v>0.672917811657542</v>
      </c>
      <c r="J10" s="72" t="n">
        <f aca="false">IF(N($N$9)=0,"",J7/$N$9)</f>
        <v>0.748685153428577</v>
      </c>
      <c r="K10" s="72" t="n">
        <f aca="false">IF(N($N$9)=0,"",K7/$N$9)</f>
        <v>0.792432177700122</v>
      </c>
      <c r="L10" s="72" t="n">
        <f aca="false">IF(N($N$9)=0,"",L7/$N$9)</f>
        <v>0.872635055531288</v>
      </c>
      <c r="M10" s="72" t="n">
        <f aca="false">IF(N($N$9)=0,"",M7/$N$9)</f>
        <v>0.909090909090909</v>
      </c>
    </row>
    <row r="11" customFormat="false" ht="15" hidden="false" customHeight="true" outlineLevel="0" collapsed="false">
      <c r="A11" s="34" t="s">
        <v>487</v>
      </c>
    </row>
    <row r="13" customFormat="false" ht="15" hidden="false" customHeight="true" outlineLevel="0" collapsed="false">
      <c r="A13" s="21" t="s">
        <v>488</v>
      </c>
    </row>
    <row r="14" customFormat="false" ht="15" hidden="false" customHeight="true" outlineLevel="0" collapsed="false">
      <c r="A14" s="42" t="s">
        <v>489</v>
      </c>
      <c r="B14" s="46" t="n">
        <f aca="false">Schedule!F29</f>
        <v>174279</v>
      </c>
    </row>
    <row r="15" customFormat="false" ht="15" hidden="false" customHeight="true" outlineLevel="0" collapsed="false">
      <c r="A15" s="42" t="s">
        <v>490</v>
      </c>
      <c r="B15" s="46" t="n">
        <f aca="false">N6</f>
        <v>174279</v>
      </c>
    </row>
    <row r="16" customFormat="false" ht="15" hidden="false" customHeight="true" outlineLevel="0" collapsed="false">
      <c r="A16" s="42" t="s">
        <v>491</v>
      </c>
      <c r="B16" s="46" t="n">
        <f aca="false">ROUND(B14-B15,0)</f>
        <v>0</v>
      </c>
      <c r="C16" s="34" t="s">
        <v>492</v>
      </c>
    </row>
    <row r="35" customFormat="false" ht="15" hidden="false" customHeight="true" outlineLevel="0" collapsed="false">
      <c r="A35" s="21" t="s">
        <v>493</v>
      </c>
    </row>
    <row r="36" customFormat="false" ht="15" hidden="false" customHeight="true" outlineLevel="0" collapsed="false">
      <c r="A36" s="22" t="s">
        <v>494</v>
      </c>
      <c r="B36" s="70" t="n">
        <f aca="false">B$5</f>
        <v>46327</v>
      </c>
      <c r="C36" s="70" t="n">
        <f aca="false">C$5</f>
        <v>46357</v>
      </c>
      <c r="D36" s="70" t="n">
        <f aca="false">D$5</f>
        <v>46388</v>
      </c>
      <c r="E36" s="70" t="n">
        <f aca="false">E$5</f>
        <v>46419</v>
      </c>
      <c r="F36" s="70" t="n">
        <f aca="false">F$5</f>
        <v>46447</v>
      </c>
      <c r="G36" s="70" t="n">
        <f aca="false">G$5</f>
        <v>46478</v>
      </c>
      <c r="H36" s="70" t="n">
        <f aca="false">H$5</f>
        <v>46508</v>
      </c>
      <c r="I36" s="70" t="n">
        <f aca="false">I$5</f>
        <v>46539</v>
      </c>
      <c r="J36" s="70" t="n">
        <f aca="false">J$5</f>
        <v>46569</v>
      </c>
      <c r="K36" s="70" t="n">
        <f aca="false">K$5</f>
        <v>46600</v>
      </c>
      <c r="L36" s="70" t="n">
        <f aca="false">L$5</f>
        <v>46631</v>
      </c>
      <c r="M36" s="70" t="n">
        <f aca="false">M$5</f>
        <v>46661</v>
      </c>
      <c r="N36" s="22" t="s">
        <v>364</v>
      </c>
    </row>
    <row r="37" customFormat="false" ht="15" hidden="false" customHeight="true" outlineLevel="0" collapsed="false">
      <c r="A37" s="42" t="str">
        <f aca="false">IF(Schedule!A7="","",Schedule!A7)</f>
        <v>Prototype</v>
      </c>
      <c r="B37" s="46" t="n">
        <f aca="false">IF(OR(N(Schedule!$F7)=0,N(Schedule!$G7)=0),0,Schedule!$F7*MAX(0,NETWORKDAYS(MAX(Schedule!$D7,B$5),MIN(Schedule!$E7,EOMONTH(B$5,0)),Feries))/Schedule!$G7)</f>
        <v>12731.25</v>
      </c>
      <c r="C37" s="46" t="n">
        <f aca="false">IF(OR(N(Schedule!$F7)=0,N(Schedule!$G7)=0),0,Schedule!$F7*MAX(0,NETWORKDAYS(MAX(Schedule!$D7,C$5),MIN(Schedule!$E7,EOMONTH(C$5,0)),Feries))/Schedule!$G7)</f>
        <v>11458.125</v>
      </c>
      <c r="D37" s="46" t="n">
        <f aca="false">IF(OR(N(Schedule!$F7)=0,N(Schedule!$G7)=0),0,Schedule!$F7*MAX(0,NETWORKDAYS(MAX(Schedule!$D7,D$5),MIN(Schedule!$E7,EOMONTH(D$5,0)),Feries))/Schedule!$G7)</f>
        <v>6365.625</v>
      </c>
      <c r="E37" s="46" t="n">
        <f aca="false">IF(OR(N(Schedule!$F7)=0,N(Schedule!$G7)=0),0,Schedule!$F7*MAX(0,NETWORKDAYS(MAX(Schedule!$D7,E$5),MIN(Schedule!$E7,EOMONTH(E$5,0)),Feries))/Schedule!$G7)</f>
        <v>0</v>
      </c>
      <c r="F37" s="46" t="n">
        <f aca="false">IF(OR(N(Schedule!$F7)=0,N(Schedule!$G7)=0),0,Schedule!$F7*MAX(0,NETWORKDAYS(MAX(Schedule!$D7,F$5),MIN(Schedule!$E7,EOMONTH(F$5,0)),Feries))/Schedule!$G7)</f>
        <v>0</v>
      </c>
      <c r="G37" s="46" t="n">
        <f aca="false">IF(OR(N(Schedule!$F7)=0,N(Schedule!$G7)=0),0,Schedule!$F7*MAX(0,NETWORKDAYS(MAX(Schedule!$D7,G$5),MIN(Schedule!$E7,EOMONTH(G$5,0)),Feries))/Schedule!$G7)</f>
        <v>0</v>
      </c>
      <c r="H37" s="46" t="n">
        <f aca="false">IF(OR(N(Schedule!$F7)=0,N(Schedule!$G7)=0),0,Schedule!$F7*MAX(0,NETWORKDAYS(MAX(Schedule!$D7,H$5),MIN(Schedule!$E7,EOMONTH(H$5,0)),Feries))/Schedule!$G7)</f>
        <v>0</v>
      </c>
      <c r="I37" s="46" t="n">
        <f aca="false">IF(OR(N(Schedule!$F7)=0,N(Schedule!$G7)=0),0,Schedule!$F7*MAX(0,NETWORKDAYS(MAX(Schedule!$D7,I$5),MIN(Schedule!$E7,EOMONTH(I$5,0)),Feries))/Schedule!$G7)</f>
        <v>0</v>
      </c>
      <c r="J37" s="46" t="n">
        <f aca="false">IF(OR(N(Schedule!$F7)=0,N(Schedule!$G7)=0),0,Schedule!$F7*MAX(0,NETWORKDAYS(MAX(Schedule!$D7,J$5),MIN(Schedule!$E7,EOMONTH(J$5,0)),Feries))/Schedule!$G7)</f>
        <v>0</v>
      </c>
      <c r="K37" s="46" t="n">
        <f aca="false">IF(OR(N(Schedule!$F7)=0,N(Schedule!$G7)=0),0,Schedule!$F7*MAX(0,NETWORKDAYS(MAX(Schedule!$D7,K$5),MIN(Schedule!$E7,EOMONTH(K$5,0)),Feries))/Schedule!$G7)</f>
        <v>0</v>
      </c>
      <c r="L37" s="46" t="n">
        <f aca="false">IF(OR(N(Schedule!$F7)=0,N(Schedule!$G7)=0),0,Schedule!$F7*MAX(0,NETWORKDAYS(MAX(Schedule!$D7,L$5),MIN(Schedule!$E7,EOMONTH(L$5,0)),Feries))/Schedule!$G7)</f>
        <v>0</v>
      </c>
      <c r="M37" s="46" t="n">
        <f aca="false">IF(OR(N(Schedule!$F7)=0,N(Schedule!$G7)=0),0,Schedule!$F7*MAX(0,NETWORKDAYS(MAX(Schedule!$D7,M$5),MIN(Schedule!$E7,EOMONTH(M$5,0)),Feries))/Schedule!$G7)</f>
        <v>0</v>
      </c>
      <c r="N37" s="107" t="n">
        <f aca="false">SUM(B37:M37)</f>
        <v>30555</v>
      </c>
    </row>
    <row r="38" customFormat="false" ht="15" hidden="false" customHeight="true" outlineLevel="0" collapsed="false">
      <c r="A38" s="42" t="str">
        <f aca="false">IF(Schedule!A8="","",Schedule!A8)</f>
        <v>Steam page</v>
      </c>
      <c r="B38" s="46" t="n">
        <f aca="false">IF(OR(N(Schedule!$F8)=0,N(Schedule!$G8)=0),0,Schedule!$F8*MAX(0,NETWORKDAYS(MAX(Schedule!$D8,B$5),MIN(Schedule!$E8,EOMONTH(B$5,0)),Feries))/Schedule!$G8)</f>
        <v>0</v>
      </c>
      <c r="C38" s="46" t="n">
        <f aca="false">IF(OR(N(Schedule!$F8)=0,N(Schedule!$G8)=0),0,Schedule!$F8*MAX(0,NETWORKDAYS(MAX(Schedule!$D8,C$5),MIN(Schedule!$E8,EOMONTH(C$5,0)),Feries))/Schedule!$G8)</f>
        <v>0</v>
      </c>
      <c r="D38" s="46" t="n">
        <f aca="false">IF(OR(N(Schedule!$F8)=0,N(Schedule!$G8)=0),0,Schedule!$F8*MAX(0,NETWORKDAYS(MAX(Schedule!$D8,D$5),MIN(Schedule!$E8,EOMONTH(D$5,0)),Feries))/Schedule!$G8)</f>
        <v>1000</v>
      </c>
      <c r="E38" s="46" t="n">
        <f aca="false">IF(OR(N(Schedule!$F8)=0,N(Schedule!$G8)=0),0,Schedule!$F8*MAX(0,NETWORKDAYS(MAX(Schedule!$D8,E$5),MIN(Schedule!$E8,EOMONTH(E$5,0)),Feries))/Schedule!$G8)</f>
        <v>2000</v>
      </c>
      <c r="F38" s="46" t="n">
        <f aca="false">IF(OR(N(Schedule!$F8)=0,N(Schedule!$G8)=0),0,Schedule!$F8*MAX(0,NETWORKDAYS(MAX(Schedule!$D8,F$5),MIN(Schedule!$E8,EOMONTH(F$5,0)),Feries))/Schedule!$G8)</f>
        <v>1100</v>
      </c>
      <c r="G38" s="46" t="n">
        <f aca="false">IF(OR(N(Schedule!$F8)=0,N(Schedule!$G8)=0),0,Schedule!$F8*MAX(0,NETWORKDAYS(MAX(Schedule!$D8,G$5),MIN(Schedule!$E8,EOMONTH(G$5,0)),Feries))/Schedule!$G8)</f>
        <v>0</v>
      </c>
      <c r="H38" s="46" t="n">
        <f aca="false">IF(OR(N(Schedule!$F8)=0,N(Schedule!$G8)=0),0,Schedule!$F8*MAX(0,NETWORKDAYS(MAX(Schedule!$D8,H$5),MIN(Schedule!$E8,EOMONTH(H$5,0)),Feries))/Schedule!$G8)</f>
        <v>0</v>
      </c>
      <c r="I38" s="46" t="n">
        <f aca="false">IF(OR(N(Schedule!$F8)=0,N(Schedule!$G8)=0),0,Schedule!$F8*MAX(0,NETWORKDAYS(MAX(Schedule!$D8,I$5),MIN(Schedule!$E8,EOMONTH(I$5,0)),Feries))/Schedule!$G8)</f>
        <v>0</v>
      </c>
      <c r="J38" s="46" t="n">
        <f aca="false">IF(OR(N(Schedule!$F8)=0,N(Schedule!$G8)=0),0,Schedule!$F8*MAX(0,NETWORKDAYS(MAX(Schedule!$D8,J$5),MIN(Schedule!$E8,EOMONTH(J$5,0)),Feries))/Schedule!$G8)</f>
        <v>0</v>
      </c>
      <c r="K38" s="46" t="n">
        <f aca="false">IF(OR(N(Schedule!$F8)=0,N(Schedule!$G8)=0),0,Schedule!$F8*MAX(0,NETWORKDAYS(MAX(Schedule!$D8,K$5),MIN(Schedule!$E8,EOMONTH(K$5,0)),Feries))/Schedule!$G8)</f>
        <v>0</v>
      </c>
      <c r="L38" s="46" t="n">
        <f aca="false">IF(OR(N(Schedule!$F8)=0,N(Schedule!$G8)=0),0,Schedule!$F8*MAX(0,NETWORKDAYS(MAX(Schedule!$D8,L$5),MIN(Schedule!$E8,EOMONTH(L$5,0)),Feries))/Schedule!$G8)</f>
        <v>0</v>
      </c>
      <c r="M38" s="46" t="n">
        <f aca="false">IF(OR(N(Schedule!$F8)=0,N(Schedule!$G8)=0),0,Schedule!$F8*MAX(0,NETWORKDAYS(MAX(Schedule!$D8,M$5),MIN(Schedule!$E8,EOMONTH(M$5,0)),Feries))/Schedule!$G8)</f>
        <v>0</v>
      </c>
      <c r="N38" s="107" t="n">
        <f aca="false">SUM(B38:M38)</f>
        <v>4100</v>
      </c>
    </row>
    <row r="39" customFormat="false" ht="15" hidden="false" customHeight="true" outlineLevel="0" collapsed="false">
      <c r="A39" s="42" t="str">
        <f aca="false">IF(Schedule!A9="","",Schedule!A9)</f>
        <v>Production</v>
      </c>
      <c r="B39" s="46" t="n">
        <f aca="false">IF(OR(N(Schedule!$F9)=0,N(Schedule!$G9)=0),0,Schedule!$F9*MAX(0,NETWORKDAYS(MAX(Schedule!$D9,B$5),MIN(Schedule!$E9,EOMONTH(B$5,0)),Feries))/Schedule!$G9)</f>
        <v>0</v>
      </c>
      <c r="C39" s="46" t="n">
        <f aca="false">IF(OR(N(Schedule!$F9)=0,N(Schedule!$G9)=0),0,Schedule!$F9*MAX(0,NETWORKDAYS(MAX(Schedule!$D9,C$5),MIN(Schedule!$E9,EOMONTH(C$5,0)),Feries))/Schedule!$G9)</f>
        <v>0</v>
      </c>
      <c r="D39" s="46" t="n">
        <f aca="false">IF(OR(N(Schedule!$F9)=0,N(Schedule!$G9)=0),0,Schedule!$F9*MAX(0,NETWORKDAYS(MAX(Schedule!$D9,D$5),MIN(Schedule!$E9,EOMONTH(D$5,0)),Feries))/Schedule!$G9)</f>
        <v>5712.68656716418</v>
      </c>
      <c r="E39" s="46" t="n">
        <f aca="false">IF(OR(N(Schedule!$F9)=0,N(Schedule!$G9)=0),0,Schedule!$F9*MAX(0,NETWORKDAYS(MAX(Schedule!$D9,E$5),MIN(Schedule!$E9,EOMONTH(E$5,0)),Feries))/Schedule!$G9)</f>
        <v>11425.3731343284</v>
      </c>
      <c r="F39" s="46" t="n">
        <f aca="false">IF(OR(N(Schedule!$F9)=0,N(Schedule!$G9)=0),0,Schedule!$F9*MAX(0,NETWORKDAYS(MAX(Schedule!$D9,F$5),MIN(Schedule!$E9,EOMONTH(F$5,0)),Feries))/Schedule!$G9)</f>
        <v>12567.9104477612</v>
      </c>
      <c r="G39" s="46" t="n">
        <f aca="false">IF(OR(N(Schedule!$F9)=0,N(Schedule!$G9)=0),0,Schedule!$F9*MAX(0,NETWORKDAYS(MAX(Schedule!$D9,G$5),MIN(Schedule!$E9,EOMONTH(G$5,0)),Feries))/Schedule!$G9)</f>
        <v>12567.9104477612</v>
      </c>
      <c r="H39" s="46" t="n">
        <f aca="false">IF(OR(N(Schedule!$F9)=0,N(Schedule!$G9)=0),0,Schedule!$F9*MAX(0,NETWORKDAYS(MAX(Schedule!$D9,H$5),MIN(Schedule!$E9,EOMONTH(H$5,0)),Feries))/Schedule!$G9)</f>
        <v>10854.1044776119</v>
      </c>
      <c r="I39" s="46" t="n">
        <f aca="false">IF(OR(N(Schedule!$F9)=0,N(Schedule!$G9)=0),0,Schedule!$F9*MAX(0,NETWORKDAYS(MAX(Schedule!$D9,I$5),MIN(Schedule!$E9,EOMONTH(I$5,0)),Feries))/Schedule!$G9)</f>
        <v>12567.9104477612</v>
      </c>
      <c r="J39" s="46" t="n">
        <f aca="false">IF(OR(N(Schedule!$F9)=0,N(Schedule!$G9)=0),0,Schedule!$F9*MAX(0,NETWORKDAYS(MAX(Schedule!$D9,J$5),MIN(Schedule!$E9,EOMONTH(J$5,0)),Feries))/Schedule!$G9)</f>
        <v>10854.1044776119</v>
      </c>
      <c r="K39" s="46" t="n">
        <f aca="false">IF(OR(N(Schedule!$F9)=0,N(Schedule!$G9)=0),0,Schedule!$F9*MAX(0,NETWORKDAYS(MAX(Schedule!$D9,K$5),MIN(Schedule!$E9,EOMONTH(K$5,0)),Feries))/Schedule!$G9)</f>
        <v>0</v>
      </c>
      <c r="L39" s="46" t="n">
        <f aca="false">IF(OR(N(Schedule!$F9)=0,N(Schedule!$G9)=0),0,Schedule!$F9*MAX(0,NETWORKDAYS(MAX(Schedule!$D9,L$5),MIN(Schedule!$E9,EOMONTH(L$5,0)),Feries))/Schedule!$G9)</f>
        <v>0</v>
      </c>
      <c r="M39" s="46" t="n">
        <f aca="false">IF(OR(N(Schedule!$F9)=0,N(Schedule!$G9)=0),0,Schedule!$F9*MAX(0,NETWORKDAYS(MAX(Schedule!$D9,M$5),MIN(Schedule!$E9,EOMONTH(M$5,0)),Feries))/Schedule!$G9)</f>
        <v>0</v>
      </c>
      <c r="N39" s="107" t="n">
        <f aca="false">SUM(B39:M39)</f>
        <v>76550</v>
      </c>
    </row>
    <row r="40" customFormat="false" ht="15" hidden="false" customHeight="true" outlineLevel="0" collapsed="false">
      <c r="A40" s="42" t="str">
        <f aca="false">IF(Schedule!A10="","",Schedule!A10)</f>
        <v>Next Fest demo</v>
      </c>
      <c r="B40" s="46" t="n">
        <f aca="false">IF(OR(N(Schedule!$F10)=0,N(Schedule!$G10)=0),0,Schedule!$F10*MAX(0,NETWORKDAYS(MAX(Schedule!$D10,B$5),MIN(Schedule!$E10,EOMONTH(B$5,0)),Feries))/Schedule!$G10)</f>
        <v>0</v>
      </c>
      <c r="C40" s="46" t="n">
        <f aca="false">IF(OR(N(Schedule!$F10)=0,N(Schedule!$G10)=0),0,Schedule!$F10*MAX(0,NETWORKDAYS(MAX(Schedule!$D10,C$5),MIN(Schedule!$E10,EOMONTH(C$5,0)),Feries))/Schedule!$G10)</f>
        <v>0</v>
      </c>
      <c r="D40" s="46" t="n">
        <f aca="false">IF(OR(N(Schedule!$F10)=0,N(Schedule!$G10)=0),0,Schedule!$F10*MAX(0,NETWORKDAYS(MAX(Schedule!$D10,D$5),MIN(Schedule!$E10,EOMONTH(D$5,0)),Feries))/Schedule!$G10)</f>
        <v>0</v>
      </c>
      <c r="E40" s="46" t="n">
        <f aca="false">IF(OR(N(Schedule!$F10)=0,N(Schedule!$G10)=0),0,Schedule!$F10*MAX(0,NETWORKDAYS(MAX(Schedule!$D10,E$5),MIN(Schedule!$E10,EOMONTH(E$5,0)),Feries))/Schedule!$G10)</f>
        <v>0</v>
      </c>
      <c r="F40" s="46" t="n">
        <f aca="false">IF(OR(N(Schedule!$F10)=0,N(Schedule!$G10)=0),0,Schedule!$F10*MAX(0,NETWORKDAYS(MAX(Schedule!$D10,F$5),MIN(Schedule!$E10,EOMONTH(F$5,0)),Feries))/Schedule!$G10)</f>
        <v>0</v>
      </c>
      <c r="G40" s="46" t="n">
        <f aca="false">IF(OR(N(Schedule!$F10)=0,N(Schedule!$G10)=0),0,Schedule!$F10*MAX(0,NETWORKDAYS(MAX(Schedule!$D10,G$5),MIN(Schedule!$E10,EOMONTH(G$5,0)),Feries))/Schedule!$G10)</f>
        <v>0</v>
      </c>
      <c r="H40" s="46" t="n">
        <f aca="false">IF(OR(N(Schedule!$F10)=0,N(Schedule!$G10)=0),0,Schedule!$F10*MAX(0,NETWORKDAYS(MAX(Schedule!$D10,H$5),MIN(Schedule!$E10,EOMONTH(H$5,0)),Feries))/Schedule!$G10)</f>
        <v>2614.28571428571</v>
      </c>
      <c r="I40" s="46" t="n">
        <f aca="false">IF(OR(N(Schedule!$F10)=0,N(Schedule!$G10)=0),0,Schedule!$F10*MAX(0,NETWORKDAYS(MAX(Schedule!$D10,I$5),MIN(Schedule!$E10,EOMONTH(I$5,0)),Feries))/Schedule!$G10)</f>
        <v>6535.71428571429</v>
      </c>
      <c r="J40" s="46" t="n">
        <f aca="false">IF(OR(N(Schedule!$F10)=0,N(Schedule!$G10)=0),0,Schedule!$F10*MAX(0,NETWORKDAYS(MAX(Schedule!$D10,J$5),MIN(Schedule!$E10,EOMONTH(J$5,0)),Feries))/Schedule!$G10)</f>
        <v>0</v>
      </c>
      <c r="K40" s="46" t="n">
        <f aca="false">IF(OR(N(Schedule!$F10)=0,N(Schedule!$G10)=0),0,Schedule!$F10*MAX(0,NETWORKDAYS(MAX(Schedule!$D10,K$5),MIN(Schedule!$E10,EOMONTH(K$5,0)),Feries))/Schedule!$G10)</f>
        <v>0</v>
      </c>
      <c r="L40" s="46" t="n">
        <f aca="false">IF(OR(N(Schedule!$F10)=0,N(Schedule!$G10)=0),0,Schedule!$F10*MAX(0,NETWORKDAYS(MAX(Schedule!$D10,L$5),MIN(Schedule!$E10,EOMONTH(L$5,0)),Feries))/Schedule!$G10)</f>
        <v>0</v>
      </c>
      <c r="M40" s="46" t="n">
        <f aca="false">IF(OR(N(Schedule!$F10)=0,N(Schedule!$G10)=0),0,Schedule!$F10*MAX(0,NETWORKDAYS(MAX(Schedule!$D10,M$5),MIN(Schedule!$E10,EOMONTH(M$5,0)),Feries))/Schedule!$G10)</f>
        <v>0</v>
      </c>
      <c r="N40" s="107" t="n">
        <f aca="false">SUM(B40:M40)</f>
        <v>9150</v>
      </c>
    </row>
    <row r="41" customFormat="false" ht="15" hidden="false" customHeight="true" outlineLevel="0" collapsed="false">
      <c r="A41" s="42" t="str">
        <f aca="false">IF(Schedule!A11="","",Schedule!A11)</f>
        <v>Polish and release</v>
      </c>
      <c r="B41" s="46" t="n">
        <f aca="false">IF(OR(N(Schedule!$F11)=0,N(Schedule!$G11)=0),0,Schedule!$F11*MAX(0,NETWORKDAYS(MAX(Schedule!$D11,B$5),MIN(Schedule!$E11,EOMONTH(B$5,0)),Feries))/Schedule!$G11)</f>
        <v>0</v>
      </c>
      <c r="C41" s="46" t="n">
        <f aca="false">IF(OR(N(Schedule!$F11)=0,N(Schedule!$G11)=0),0,Schedule!$F11*MAX(0,NETWORKDAYS(MAX(Schedule!$D11,C$5),MIN(Schedule!$E11,EOMONTH(C$5,0)),Feries))/Schedule!$G11)</f>
        <v>0</v>
      </c>
      <c r="D41" s="46" t="n">
        <f aca="false">IF(OR(N(Schedule!$F11)=0,N(Schedule!$G11)=0),0,Schedule!$F11*MAX(0,NETWORKDAYS(MAX(Schedule!$D11,D$5),MIN(Schedule!$E11,EOMONTH(D$5,0)),Feries))/Schedule!$G11)</f>
        <v>0</v>
      </c>
      <c r="E41" s="46" t="n">
        <f aca="false">IF(OR(N(Schedule!$F11)=0,N(Schedule!$G11)=0),0,Schedule!$F11*MAX(0,NETWORKDAYS(MAX(Schedule!$D11,E$5),MIN(Schedule!$E11,EOMONTH(E$5,0)),Feries))/Schedule!$G11)</f>
        <v>0</v>
      </c>
      <c r="F41" s="46" t="n">
        <f aca="false">IF(OR(N(Schedule!$F11)=0,N(Schedule!$G11)=0),0,Schedule!$F11*MAX(0,NETWORKDAYS(MAX(Schedule!$D11,F$5),MIN(Schedule!$E11,EOMONTH(F$5,0)),Feries))/Schedule!$G11)</f>
        <v>0</v>
      </c>
      <c r="G41" s="46" t="n">
        <f aca="false">IF(OR(N(Schedule!$F11)=0,N(Schedule!$G11)=0),0,Schedule!$F11*MAX(0,NETWORKDAYS(MAX(Schedule!$D11,G$5),MIN(Schedule!$E11,EOMONTH(G$5,0)),Feries))/Schedule!$G11)</f>
        <v>0</v>
      </c>
      <c r="H41" s="46" t="n">
        <f aca="false">IF(OR(N(Schedule!$F11)=0,N(Schedule!$G11)=0),0,Schedule!$F11*MAX(0,NETWORKDAYS(MAX(Schedule!$D11,H$5),MIN(Schedule!$E11,EOMONTH(H$5,0)),Feries))/Schedule!$G11)</f>
        <v>0</v>
      </c>
      <c r="I41" s="46" t="n">
        <f aca="false">IF(OR(N(Schedule!$F11)=0,N(Schedule!$G11)=0),0,Schedule!$F11*MAX(0,NETWORKDAYS(MAX(Schedule!$D11,I$5),MIN(Schedule!$E11,EOMONTH(I$5,0)),Feries))/Schedule!$G11)</f>
        <v>0</v>
      </c>
      <c r="J41" s="46" t="n">
        <f aca="false">IF(OR(N(Schedule!$F11)=0,N(Schedule!$G11)=0),0,Schedule!$F11*MAX(0,NETWORKDAYS(MAX(Schedule!$D11,J$5),MIN(Schedule!$E11,EOMONTH(J$5,0)),Feries))/Schedule!$G11)</f>
        <v>1158.47826086957</v>
      </c>
      <c r="K41" s="46" t="n">
        <f aca="false">IF(OR(N(Schedule!$F11)=0,N(Schedule!$G11)=0),0,Schedule!$F11*MAX(0,NETWORKDAYS(MAX(Schedule!$D11,K$5),MIN(Schedule!$E11,EOMONTH(K$5,0)),Feries))/Schedule!$G11)</f>
        <v>6950.86956521739</v>
      </c>
      <c r="L41" s="46" t="n">
        <f aca="false">IF(OR(N(Schedule!$F11)=0,N(Schedule!$G11)=0),0,Schedule!$F11*MAX(0,NETWORKDAYS(MAX(Schedule!$D11,L$5),MIN(Schedule!$E11,EOMONTH(L$5,0)),Feries))/Schedule!$G11)</f>
        <v>12743.2608695652</v>
      </c>
      <c r="M41" s="46" t="n">
        <f aca="false">IF(OR(N(Schedule!$F11)=0,N(Schedule!$G11)=0),0,Schedule!$F11*MAX(0,NETWORKDAYS(MAX(Schedule!$D11,M$5),MIN(Schedule!$E11,EOMONTH(M$5,0)),Feries))/Schedule!$G11)</f>
        <v>5792.39130434783</v>
      </c>
      <c r="N41" s="107" t="n">
        <f aca="false">SUM(B41:M41)</f>
        <v>26645</v>
      </c>
    </row>
    <row r="42" customFormat="false" ht="15" hidden="false" customHeight="true" outlineLevel="0" collapsed="false">
      <c r="A42" s="42" t="str">
        <f aca="false">IF(Schedule!A12="","",Schedule!A12)</f>
        <v>Marketing</v>
      </c>
      <c r="B42" s="46" t="n">
        <f aca="false">IF(OR(N(Schedule!$F12)=0,N(Schedule!$G12)=0),0,Schedule!$F12*MAX(0,NETWORKDAYS(MAX(Schedule!$D12,B$5),MIN(Schedule!$E12,EOMONTH(B$5,0)),Feries))/Schedule!$G12)</f>
        <v>473.684210526316</v>
      </c>
      <c r="C42" s="46" t="n">
        <f aca="false">IF(OR(N(Schedule!$F12)=0,N(Schedule!$G12)=0),0,Schedule!$F12*MAX(0,NETWORKDAYS(MAX(Schedule!$D12,C$5),MIN(Schedule!$E12,EOMONTH(C$5,0)),Feries))/Schedule!$G12)</f>
        <v>426.315789473684</v>
      </c>
      <c r="D42" s="46" t="n">
        <f aca="false">IF(OR(N(Schedule!$F12)=0,N(Schedule!$G12)=0),0,Schedule!$F12*MAX(0,NETWORKDAYS(MAX(Schedule!$D12,D$5),MIN(Schedule!$E12,EOMONTH(D$5,0)),Feries))/Schedule!$G12)</f>
        <v>473.684210526316</v>
      </c>
      <c r="E42" s="46" t="n">
        <f aca="false">IF(OR(N(Schedule!$F12)=0,N(Schedule!$G12)=0),0,Schedule!$F12*MAX(0,NETWORKDAYS(MAX(Schedule!$D12,E$5),MIN(Schedule!$E12,EOMONTH(E$5,0)),Feries))/Schedule!$G12)</f>
        <v>473.684210526316</v>
      </c>
      <c r="F42" s="46" t="n">
        <f aca="false">IF(OR(N(Schedule!$F12)=0,N(Schedule!$G12)=0),0,Schedule!$F12*MAX(0,NETWORKDAYS(MAX(Schedule!$D12,F$5),MIN(Schedule!$E12,EOMONTH(F$5,0)),Feries))/Schedule!$G12)</f>
        <v>521.052631578947</v>
      </c>
      <c r="G42" s="46" t="n">
        <f aca="false">IF(OR(N(Schedule!$F12)=0,N(Schedule!$G12)=0),0,Schedule!$F12*MAX(0,NETWORKDAYS(MAX(Schedule!$D12,G$5),MIN(Schedule!$E12,EOMONTH(G$5,0)),Feries))/Schedule!$G12)</f>
        <v>521.052631578947</v>
      </c>
      <c r="H42" s="46" t="n">
        <f aca="false">IF(OR(N(Schedule!$F12)=0,N(Schedule!$G12)=0),0,Schedule!$F12*MAX(0,NETWORKDAYS(MAX(Schedule!$D12,H$5),MIN(Schedule!$E12,EOMONTH(H$5,0)),Feries))/Schedule!$G12)</f>
        <v>450</v>
      </c>
      <c r="I42" s="46" t="n">
        <f aca="false">IF(OR(N(Schedule!$F12)=0,N(Schedule!$G12)=0),0,Schedule!$F12*MAX(0,NETWORKDAYS(MAX(Schedule!$D12,I$5),MIN(Schedule!$E12,EOMONTH(I$5,0)),Feries))/Schedule!$G12)</f>
        <v>521.052631578947</v>
      </c>
      <c r="J42" s="46" t="n">
        <f aca="false">IF(OR(N(Schedule!$F12)=0,N(Schedule!$G12)=0),0,Schedule!$F12*MAX(0,NETWORKDAYS(MAX(Schedule!$D12,J$5),MIN(Schedule!$E12,EOMONTH(J$5,0)),Feries))/Schedule!$G12)</f>
        <v>497.368421052632</v>
      </c>
      <c r="K42" s="46" t="n">
        <f aca="false">IF(OR(N(Schedule!$F12)=0,N(Schedule!$G12)=0),0,Schedule!$F12*MAX(0,NETWORKDAYS(MAX(Schedule!$D12,K$5),MIN(Schedule!$E12,EOMONTH(K$5,0)),Feries))/Schedule!$G12)</f>
        <v>284.21052631579</v>
      </c>
      <c r="L42" s="46" t="n">
        <f aca="false">IF(OR(N(Schedule!$F12)=0,N(Schedule!$G12)=0),0,Schedule!$F12*MAX(0,NETWORKDAYS(MAX(Schedule!$D12,L$5),MIN(Schedule!$E12,EOMONTH(L$5,0)),Feries))/Schedule!$G12)</f>
        <v>521.052631578947</v>
      </c>
      <c r="M42" s="46" t="n">
        <f aca="false">IF(OR(N(Schedule!$F12)=0,N(Schedule!$G12)=0),0,Schedule!$F12*MAX(0,NETWORKDAYS(MAX(Schedule!$D12,M$5),MIN(Schedule!$E12,EOMONTH(M$5,0)),Feries))/Schedule!$G12)</f>
        <v>236.842105263158</v>
      </c>
      <c r="N42" s="107" t="n">
        <f aca="false">SUM(B42:M42)</f>
        <v>5400</v>
      </c>
    </row>
    <row r="43" customFormat="false" ht="15" hidden="false" customHeight="true" outlineLevel="0" collapsed="false">
      <c r="A43" s="42" t="str">
        <f aca="false">IF(Schedule!A13="","",Schedule!A13)</f>
        <v/>
      </c>
      <c r="B43" s="46" t="n">
        <f aca="false">IF(OR(N(Schedule!$F13)=0,N(Schedule!$G13)=0),0,Schedule!$F13*MAX(0,NETWORKDAYS(MAX(Schedule!$D13,B$5),MIN(Schedule!$E13,EOMONTH(B$5,0)),Feries))/Schedule!$G13)</f>
        <v>0</v>
      </c>
      <c r="C43" s="46" t="n">
        <f aca="false">IF(OR(N(Schedule!$F13)=0,N(Schedule!$G13)=0),0,Schedule!$F13*MAX(0,NETWORKDAYS(MAX(Schedule!$D13,C$5),MIN(Schedule!$E13,EOMONTH(C$5,0)),Feries))/Schedule!$G13)</f>
        <v>0</v>
      </c>
      <c r="D43" s="46" t="n">
        <f aca="false">IF(OR(N(Schedule!$F13)=0,N(Schedule!$G13)=0),0,Schedule!$F13*MAX(0,NETWORKDAYS(MAX(Schedule!$D13,D$5),MIN(Schedule!$E13,EOMONTH(D$5,0)),Feries))/Schedule!$G13)</f>
        <v>0</v>
      </c>
      <c r="E43" s="46" t="n">
        <f aca="false">IF(OR(N(Schedule!$F13)=0,N(Schedule!$G13)=0),0,Schedule!$F13*MAX(0,NETWORKDAYS(MAX(Schedule!$D13,E$5),MIN(Schedule!$E13,EOMONTH(E$5,0)),Feries))/Schedule!$G13)</f>
        <v>0</v>
      </c>
      <c r="F43" s="46" t="n">
        <f aca="false">IF(OR(N(Schedule!$F13)=0,N(Schedule!$G13)=0),0,Schedule!$F13*MAX(0,NETWORKDAYS(MAX(Schedule!$D13,F$5),MIN(Schedule!$E13,EOMONTH(F$5,0)),Feries))/Schedule!$G13)</f>
        <v>0</v>
      </c>
      <c r="G43" s="46" t="n">
        <f aca="false">IF(OR(N(Schedule!$F13)=0,N(Schedule!$G13)=0),0,Schedule!$F13*MAX(0,NETWORKDAYS(MAX(Schedule!$D13,G$5),MIN(Schedule!$E13,EOMONTH(G$5,0)),Feries))/Schedule!$G13)</f>
        <v>0</v>
      </c>
      <c r="H43" s="46" t="n">
        <f aca="false">IF(OR(N(Schedule!$F13)=0,N(Schedule!$G13)=0),0,Schedule!$F13*MAX(0,NETWORKDAYS(MAX(Schedule!$D13,H$5),MIN(Schedule!$E13,EOMONTH(H$5,0)),Feries))/Schedule!$G13)</f>
        <v>0</v>
      </c>
      <c r="I43" s="46" t="n">
        <f aca="false">IF(OR(N(Schedule!$F13)=0,N(Schedule!$G13)=0),0,Schedule!$F13*MAX(0,NETWORKDAYS(MAX(Schedule!$D13,I$5),MIN(Schedule!$E13,EOMONTH(I$5,0)),Feries))/Schedule!$G13)</f>
        <v>0</v>
      </c>
      <c r="J43" s="46" t="n">
        <f aca="false">IF(OR(N(Schedule!$F13)=0,N(Schedule!$G13)=0),0,Schedule!$F13*MAX(0,NETWORKDAYS(MAX(Schedule!$D13,J$5),MIN(Schedule!$E13,EOMONTH(J$5,0)),Feries))/Schedule!$G13)</f>
        <v>0</v>
      </c>
      <c r="K43" s="46" t="n">
        <f aca="false">IF(OR(N(Schedule!$F13)=0,N(Schedule!$G13)=0),0,Schedule!$F13*MAX(0,NETWORKDAYS(MAX(Schedule!$D13,K$5),MIN(Schedule!$E13,EOMONTH(K$5,0)),Feries))/Schedule!$G13)</f>
        <v>0</v>
      </c>
      <c r="L43" s="46" t="n">
        <f aca="false">IF(OR(N(Schedule!$F13)=0,N(Schedule!$G13)=0),0,Schedule!$F13*MAX(0,NETWORKDAYS(MAX(Schedule!$D13,L$5),MIN(Schedule!$E13,EOMONTH(L$5,0)),Feries))/Schedule!$G13)</f>
        <v>0</v>
      </c>
      <c r="M43" s="46" t="n">
        <f aca="false">IF(OR(N(Schedule!$F13)=0,N(Schedule!$G13)=0),0,Schedule!$F13*MAX(0,NETWORKDAYS(MAX(Schedule!$D13,M$5),MIN(Schedule!$E13,EOMONTH(M$5,0)),Feries))/Schedule!$G13)</f>
        <v>0</v>
      </c>
      <c r="N43" s="107" t="n">
        <f aca="false">SUM(B43:M43)</f>
        <v>0</v>
      </c>
    </row>
    <row r="44" customFormat="false" ht="15" hidden="false" customHeight="true" outlineLevel="0" collapsed="false">
      <c r="A44" s="42" t="str">
        <f aca="false">IF(Schedule!A14="","",Schedule!A14)</f>
        <v/>
      </c>
      <c r="B44" s="46" t="n">
        <f aca="false">IF(OR(N(Schedule!$F14)=0,N(Schedule!$G14)=0),0,Schedule!$F14*MAX(0,NETWORKDAYS(MAX(Schedule!$D14,B$5),MIN(Schedule!$E14,EOMONTH(B$5,0)),Feries))/Schedule!$G14)</f>
        <v>0</v>
      </c>
      <c r="C44" s="46" t="n">
        <f aca="false">IF(OR(N(Schedule!$F14)=0,N(Schedule!$G14)=0),0,Schedule!$F14*MAX(0,NETWORKDAYS(MAX(Schedule!$D14,C$5),MIN(Schedule!$E14,EOMONTH(C$5,0)),Feries))/Schedule!$G14)</f>
        <v>0</v>
      </c>
      <c r="D44" s="46" t="n">
        <f aca="false">IF(OR(N(Schedule!$F14)=0,N(Schedule!$G14)=0),0,Schedule!$F14*MAX(0,NETWORKDAYS(MAX(Schedule!$D14,D$5),MIN(Schedule!$E14,EOMONTH(D$5,0)),Feries))/Schedule!$G14)</f>
        <v>0</v>
      </c>
      <c r="E44" s="46" t="n">
        <f aca="false">IF(OR(N(Schedule!$F14)=0,N(Schedule!$G14)=0),0,Schedule!$F14*MAX(0,NETWORKDAYS(MAX(Schedule!$D14,E$5),MIN(Schedule!$E14,EOMONTH(E$5,0)),Feries))/Schedule!$G14)</f>
        <v>0</v>
      </c>
      <c r="F44" s="46" t="n">
        <f aca="false">IF(OR(N(Schedule!$F14)=0,N(Schedule!$G14)=0),0,Schedule!$F14*MAX(0,NETWORKDAYS(MAX(Schedule!$D14,F$5),MIN(Schedule!$E14,EOMONTH(F$5,0)),Feries))/Schedule!$G14)</f>
        <v>0</v>
      </c>
      <c r="G44" s="46" t="n">
        <f aca="false">IF(OR(N(Schedule!$F14)=0,N(Schedule!$G14)=0),0,Schedule!$F14*MAX(0,NETWORKDAYS(MAX(Schedule!$D14,G$5),MIN(Schedule!$E14,EOMONTH(G$5,0)),Feries))/Schedule!$G14)</f>
        <v>0</v>
      </c>
      <c r="H44" s="46" t="n">
        <f aca="false">IF(OR(N(Schedule!$F14)=0,N(Schedule!$G14)=0),0,Schedule!$F14*MAX(0,NETWORKDAYS(MAX(Schedule!$D14,H$5),MIN(Schedule!$E14,EOMONTH(H$5,0)),Feries))/Schedule!$G14)</f>
        <v>0</v>
      </c>
      <c r="I44" s="46" t="n">
        <f aca="false">IF(OR(N(Schedule!$F14)=0,N(Schedule!$G14)=0),0,Schedule!$F14*MAX(0,NETWORKDAYS(MAX(Schedule!$D14,I$5),MIN(Schedule!$E14,EOMONTH(I$5,0)),Feries))/Schedule!$G14)</f>
        <v>0</v>
      </c>
      <c r="J44" s="46" t="n">
        <f aca="false">IF(OR(N(Schedule!$F14)=0,N(Schedule!$G14)=0),0,Schedule!$F14*MAX(0,NETWORKDAYS(MAX(Schedule!$D14,J$5),MIN(Schedule!$E14,EOMONTH(J$5,0)),Feries))/Schedule!$G14)</f>
        <v>0</v>
      </c>
      <c r="K44" s="46" t="n">
        <f aca="false">IF(OR(N(Schedule!$F14)=0,N(Schedule!$G14)=0),0,Schedule!$F14*MAX(0,NETWORKDAYS(MAX(Schedule!$D14,K$5),MIN(Schedule!$E14,EOMONTH(K$5,0)),Feries))/Schedule!$G14)</f>
        <v>0</v>
      </c>
      <c r="L44" s="46" t="n">
        <f aca="false">IF(OR(N(Schedule!$F14)=0,N(Schedule!$G14)=0),0,Schedule!$F14*MAX(0,NETWORKDAYS(MAX(Schedule!$D14,L$5),MIN(Schedule!$E14,EOMONTH(L$5,0)),Feries))/Schedule!$G14)</f>
        <v>0</v>
      </c>
      <c r="M44" s="46" t="n">
        <f aca="false">IF(OR(N(Schedule!$F14)=0,N(Schedule!$G14)=0),0,Schedule!$F14*MAX(0,NETWORKDAYS(MAX(Schedule!$D14,M$5),MIN(Schedule!$E14,EOMONTH(M$5,0)),Feries))/Schedule!$G14)</f>
        <v>0</v>
      </c>
      <c r="N44" s="107" t="n">
        <f aca="false">SUM(B44:M44)</f>
        <v>0</v>
      </c>
    </row>
    <row r="45" customFormat="false" ht="15" hidden="false" customHeight="true" outlineLevel="0" collapsed="false">
      <c r="A45" s="42" t="str">
        <f aca="false">IF(Schedule!A15="","",Schedule!A15)</f>
        <v>Coordination</v>
      </c>
      <c r="B45" s="46" t="n">
        <f aca="false">IF(OR(N(Schedule!$F15)=0,N(Schedule!$G15)=0),0,Schedule!$F15*MAX(0,NETWORKDAYS(MAX(Schedule!$D15,B$5),MIN(Schedule!$E15,EOMONTH(B$5,0)),Feries))/Schedule!$G15)</f>
        <v>1919.21052631579</v>
      </c>
      <c r="C45" s="46" t="n">
        <f aca="false">IF(OR(N(Schedule!$F15)=0,N(Schedule!$G15)=0),0,Schedule!$F15*MAX(0,NETWORKDAYS(MAX(Schedule!$D15,C$5),MIN(Schedule!$E15,EOMONTH(C$5,0)),Feries))/Schedule!$G15)</f>
        <v>1727.28947368421</v>
      </c>
      <c r="D45" s="46" t="n">
        <f aca="false">IF(OR(N(Schedule!$F15)=0,N(Schedule!$G15)=0),0,Schedule!$F15*MAX(0,NETWORKDAYS(MAX(Schedule!$D15,D$5),MIN(Schedule!$E15,EOMONTH(D$5,0)),Feries))/Schedule!$G15)</f>
        <v>1919.21052631579</v>
      </c>
      <c r="E45" s="46" t="n">
        <f aca="false">IF(OR(N(Schedule!$F15)=0,N(Schedule!$G15)=0),0,Schedule!$F15*MAX(0,NETWORKDAYS(MAX(Schedule!$D15,E$5),MIN(Schedule!$E15,EOMONTH(E$5,0)),Feries))/Schedule!$G15)</f>
        <v>1919.21052631579</v>
      </c>
      <c r="F45" s="46" t="n">
        <f aca="false">IF(OR(N(Schedule!$F15)=0,N(Schedule!$G15)=0),0,Schedule!$F15*MAX(0,NETWORKDAYS(MAX(Schedule!$D15,F$5),MIN(Schedule!$E15,EOMONTH(F$5,0)),Feries))/Schedule!$G15)</f>
        <v>2111.13157894737</v>
      </c>
      <c r="G45" s="46" t="n">
        <f aca="false">IF(OR(N(Schedule!$F15)=0,N(Schedule!$G15)=0),0,Schedule!$F15*MAX(0,NETWORKDAYS(MAX(Schedule!$D15,G$5),MIN(Schedule!$E15,EOMONTH(G$5,0)),Feries))/Schedule!$G15)</f>
        <v>2111.13157894737</v>
      </c>
      <c r="H45" s="46" t="n">
        <f aca="false">IF(OR(N(Schedule!$F15)=0,N(Schedule!$G15)=0),0,Schedule!$F15*MAX(0,NETWORKDAYS(MAX(Schedule!$D15,H$5),MIN(Schedule!$E15,EOMONTH(H$5,0)),Feries))/Schedule!$G15)</f>
        <v>1823.25</v>
      </c>
      <c r="I45" s="46" t="n">
        <f aca="false">IF(OR(N(Schedule!$F15)=0,N(Schedule!$G15)=0),0,Schedule!$F15*MAX(0,NETWORKDAYS(MAX(Schedule!$D15,I$5),MIN(Schedule!$E15,EOMONTH(I$5,0)),Feries))/Schedule!$G15)</f>
        <v>2111.13157894737</v>
      </c>
      <c r="J45" s="46" t="n">
        <f aca="false">IF(OR(N(Schedule!$F15)=0,N(Schedule!$G15)=0),0,Schedule!$F15*MAX(0,NETWORKDAYS(MAX(Schedule!$D15,J$5),MIN(Schedule!$E15,EOMONTH(J$5,0)),Feries))/Schedule!$G15)</f>
        <v>2015.17105263158</v>
      </c>
      <c r="K45" s="46" t="n">
        <f aca="false">IF(OR(N(Schedule!$F15)=0,N(Schedule!$G15)=0),0,Schedule!$F15*MAX(0,NETWORKDAYS(MAX(Schedule!$D15,K$5),MIN(Schedule!$E15,EOMONTH(K$5,0)),Feries))/Schedule!$G15)</f>
        <v>1151.52631578947</v>
      </c>
      <c r="L45" s="46" t="n">
        <f aca="false">IF(OR(N(Schedule!$F15)=0,N(Schedule!$G15)=0),0,Schedule!$F15*MAX(0,NETWORKDAYS(MAX(Schedule!$D15,L$5),MIN(Schedule!$E15,EOMONTH(L$5,0)),Feries))/Schedule!$G15)</f>
        <v>2111.13157894737</v>
      </c>
      <c r="M45" s="46" t="n">
        <f aca="false">IF(OR(N(Schedule!$F15)=0,N(Schedule!$G15)=0),0,Schedule!$F15*MAX(0,NETWORKDAYS(MAX(Schedule!$D15,M$5),MIN(Schedule!$E15,EOMONTH(M$5,0)),Feries))/Schedule!$G15)</f>
        <v>959.605263157895</v>
      </c>
      <c r="N45" s="107" t="n">
        <f aca="false">SUM(B45:M45)</f>
        <v>21879</v>
      </c>
    </row>
    <row r="46" customFormat="false" ht="15" hidden="false" customHeight="true" outlineLevel="0" collapsed="false">
      <c r="A46" s="51" t="s">
        <v>364</v>
      </c>
      <c r="B46" s="53" t="n">
        <f aca="false">SUM(B37:B45)</f>
        <v>15124.1447368421</v>
      </c>
      <c r="C46" s="53" t="n">
        <f aca="false">SUM(C37:C45)</f>
        <v>13611.7302631579</v>
      </c>
      <c r="D46" s="53" t="n">
        <f aca="false">SUM(D37:D45)</f>
        <v>15471.2063040063</v>
      </c>
      <c r="E46" s="53" t="n">
        <f aca="false">SUM(E37:E45)</f>
        <v>15818.2678711705</v>
      </c>
      <c r="F46" s="53" t="n">
        <f aca="false">SUM(F37:F45)</f>
        <v>16300.0946582875</v>
      </c>
      <c r="G46" s="53" t="n">
        <f aca="false">SUM(G37:G45)</f>
        <v>15200.0946582875</v>
      </c>
      <c r="H46" s="53" t="n">
        <f aca="false">SUM(H37:H45)</f>
        <v>15741.6401918977</v>
      </c>
      <c r="I46" s="53" t="n">
        <f aca="false">SUM(I37:I45)</f>
        <v>21735.8089440018</v>
      </c>
      <c r="J46" s="53" t="n">
        <f aca="false">SUM(J37:J45)</f>
        <v>14525.1222121657</v>
      </c>
      <c r="K46" s="53" t="n">
        <f aca="false">SUM(K37:K45)</f>
        <v>8386.60640732265</v>
      </c>
      <c r="L46" s="53" t="n">
        <f aca="false">SUM(L37:L45)</f>
        <v>15375.4450800915</v>
      </c>
      <c r="M46" s="53" t="n">
        <f aca="false">SUM(M37:M45)</f>
        <v>6988.83867276888</v>
      </c>
      <c r="N46" s="53" t="n">
        <f aca="false">SUM(N37:N45)</f>
        <v>174279</v>
      </c>
    </row>
    <row r="47" customFormat="false" ht="15" hidden="false" customHeight="true" outlineLevel="0" collapsed="false">
      <c r="A47" s="34" t="s">
        <v>495</v>
      </c>
    </row>
  </sheetData>
  <conditionalFormatting sqref="B16">
    <cfRule type="expression" priority="2" aboveAverage="0" equalAverage="0" bottom="0" percent="0" rank="0" text="" dxfId="0">
      <formula>ABS(B16)&gt;1</formula>
    </cfRule>
  </conditionalFormatting>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2026-11-02T23:12:06Z</dcterms:created>
  <dc:creator>openpyxl</dc:creator>
  <dc:description/>
  <dc:language>en-US</dc:language>
  <cp:lastModifiedBy/>
  <dcterms:modified xsi:type="dcterms:W3CDTF">2026-11-03T00:33:03Z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